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drawings/drawing6.xml" ContentType="application/vnd.openxmlformats-officedocument.drawing+xml"/>
  <Override PartName="/xl/ctrlProps/ctrlProp6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olfova\Downloads\"/>
    </mc:Choice>
  </mc:AlternateContent>
  <xr:revisionPtr revIDLastSave="0" documentId="8_{8B9E27D4-69DE-4860-A14F-3103A4F9618B}" xr6:coauthVersionLast="47" xr6:coauthVersionMax="47" xr10:uidLastSave="{00000000-0000-0000-0000-000000000000}"/>
  <workbookProtection workbookAlgorithmName="SHA-512" workbookHashValue="5ZyoXBfenrW/PMn5DTHwcQyD+LvCW6rnGzsRlIdEkjsdxqqA9N5B94U2fqJbgkJ58ad7a9wpayLwVzEtRURiCQ==" workbookSaltValue="8f2SBE9sOct/46AfTffl8A==" workbookSpinCount="100000" lockStructure="1"/>
  <bookViews>
    <workbookView xWindow="-120" yWindow="-120" windowWidth="29040" windowHeight="15720" tabRatio="945" xr2:uid="{00000000-000D-0000-FFFF-FFFF00000000}"/>
  </bookViews>
  <sheets>
    <sheet name="KÚ_1" sheetId="8" r:id="rId1"/>
    <sheet name="KÚ_2" sheetId="32" r:id="rId2"/>
    <sheet name="KÚ_3" sheetId="33" r:id="rId3"/>
    <sheet name="KÚ_4" sheetId="34" r:id="rId4"/>
    <sheet name="KÚ_5" sheetId="35" r:id="rId5"/>
    <sheet name="KÚ_6" sheetId="36" r:id="rId6"/>
    <sheet name="Obce_s_KU" sheetId="16" state="hidden" r:id="rId7"/>
    <sheet name="Obce_vynos" sheetId="7" state="hidden" r:id="rId8"/>
    <sheet name="Všechny_obce_koeficienty" sheetId="10" state="hidden" r:id="rId9"/>
    <sheet name="Koef" sheetId="2" state="hidden" r:id="rId10"/>
    <sheet name="OBCE, počet obyvatel" sheetId="4" state="hidden" r:id="rId11"/>
    <sheet name="Uživatelská příručka" sheetId="18" r:id="rId12"/>
    <sheet name="HELP" sheetId="31" state="hidden" r:id="rId13"/>
  </sheets>
  <definedNames>
    <definedName name="_xlnm._FilterDatabase" localSheetId="10" hidden="1">'OBCE, počet obyvatel'!$A$2:$D$3</definedName>
    <definedName name="_xlnm._FilterDatabase" localSheetId="6" hidden="1">Obce_s_KU!$A$1:$AB$2</definedName>
    <definedName name="_xlnm._FilterDatabase" localSheetId="7" hidden="1">Obce_vynos!$A$2:$AB$8</definedName>
    <definedName name="_xlnm._FilterDatabase" localSheetId="8" hidden="1">Všechny_obce_koeficienty!$A$1:$U$7</definedName>
    <definedName name="ARNOLTICE">Obce_s_KU!#REF!</definedName>
    <definedName name="BEČOV">Obce_s_KU!#REF!</definedName>
    <definedName name="BECHLÍN">Obce_s_KU!#REF!</definedName>
    <definedName name="BĚLUŠICE">Obce_s_KU!#REF!</definedName>
    <definedName name="BENEŠOV_NAD_PLOUČNICÍ">Obce_s_KU!#REF!</definedName>
    <definedName name="BÍLENCE">Obce_s_KU!#REF!</definedName>
    <definedName name="BÍLINA">Obce_s_KU!#REF!</definedName>
    <definedName name="BITOZEVES">Obce_s_KU!#REF!</definedName>
    <definedName name="BLATNO">Obce_s_KU!#REF!</definedName>
    <definedName name="BLAŽIM">Obce_s_KU!#REF!</definedName>
    <definedName name="BLŠANY">Obce_s_KU!#REF!</definedName>
    <definedName name="BLŠANY_U_LOUN">Obce_s_KU!#REF!</definedName>
    <definedName name="BOHUŠOVICE_NAD_OHŘÍ">Obce_s_KU!#REF!</definedName>
    <definedName name="BOLEBOŘ">Obce_s_KU!#REF!</definedName>
    <definedName name="BOŘISLAV">Obce_s_KU!#REF!</definedName>
    <definedName name="BRAŇANY">Obce_s_KU!#REF!</definedName>
    <definedName name="BRANDOV">Obce_s_KU!#REF!</definedName>
    <definedName name="BRŇANY">Obce_s_KU!#REF!</definedName>
    <definedName name="BRODEC">Obce_s_KU!#REF!</definedName>
    <definedName name="BROZANY_NAD_OHŘÍ">Obce_s_KU!#REF!</definedName>
    <definedName name="BRZÁNKY">Obce_s_KU!#REF!</definedName>
    <definedName name="BŘEZNO">Obce_s_KU!#REF!</definedName>
    <definedName name="BŘÍZA">Obce_s_KU!#REF!</definedName>
    <definedName name="BŘVANY">Obce_s_KU!#REF!</definedName>
    <definedName name="BUDYNĚ_NAD_OHŘÍ">Obce_s_KU!#REF!</definedName>
    <definedName name="BÝČKOVICE">Obce_s_KU!#REF!</definedName>
    <definedName name="BYNOVEC">Obce_s_KU!#REF!</definedName>
    <definedName name="BYSTŘANY">Obce_s_KU!#REF!</definedName>
    <definedName name="BŽANY">Obce_s_KU!#REF!</definedName>
    <definedName name="CÍTOLIBY">Obce_s_KU!#REF!</definedName>
    <definedName name="CTINĚVES">Obce_s_KU!#REF!</definedName>
    <definedName name="ČERADICE">Obce_s_KU!#REF!</definedName>
    <definedName name="ČERNČICE">Obce_s_KU!#REF!</definedName>
    <definedName name="ČERNĚVES">Obce_s_KU!#REF!</definedName>
    <definedName name="ČERNIV">Obce_s_KU!#REF!</definedName>
    <definedName name="ČERNOUČEK">Obce_s_KU!#REF!</definedName>
    <definedName name="ČERNOVICE">Obce_s_KU!#REF!</definedName>
    <definedName name="ČESKÁ_KAMENICE">Obce_s_KU!$C$2:$H$2</definedName>
    <definedName name="ČESKÝ_JIŘETÍN">Obce_s_KU!#REF!</definedName>
    <definedName name="ČÍŽKOVICE">Obce_s_KU!#REF!</definedName>
    <definedName name="DĚČANY">Obce_s_KU!#REF!</definedName>
    <definedName name="DĚČÍN">Obce_s_KU!#REF!</definedName>
    <definedName name="DEŠTNICE">Obce_s_KU!#REF!</definedName>
    <definedName name="DLAŽKOVICE">Obce_s_KU!#REF!</definedName>
    <definedName name="DOBKOVICE">Obce_s_KU!#REF!</definedName>
    <definedName name="DOBRNÁ">Obce_s_KU!#REF!</definedName>
    <definedName name="DOBROMĚŘICE">Obce_s_KU!#REF!</definedName>
    <definedName name="DOBŘÍŇ">Obce_s_KU!#REF!</definedName>
    <definedName name="DOKSANY">Obce_s_KU!#REF!</definedName>
    <definedName name="DOLÁNKY_NAD_OHŘÍ">Obce_s_KU!#REF!</definedName>
    <definedName name="DOLNÍ_HABARTICE">Obce_s_KU!#REF!</definedName>
    <definedName name="DOLNÍ_PODLUŽÍ">Obce_s_KU!#REF!</definedName>
    <definedName name="DOLNÍ_POUSTEVNA">Obce_s_KU!#REF!</definedName>
    <definedName name="DOLNÍ_ZÁLEZLY">Obce_s_KU!#REF!</definedName>
    <definedName name="DOMAŠÍN">Obce_s_KU!#REF!</definedName>
    <definedName name="DOMOUŠICE">Obce_s_KU!#REF!</definedName>
    <definedName name="DOUBICE">Obce_s_KU!#REF!</definedName>
    <definedName name="DRAHOBUZ">Obce_s_KU!#REF!</definedName>
    <definedName name="DROUŽKOVICE">Obce_s_KU!#REF!</definedName>
    <definedName name="DUBÍ">Obce_s_KU!#REF!</definedName>
    <definedName name="DUCHCOV">Obce_s_KU!#REF!</definedName>
    <definedName name="DUŠNÍKY">Obce_s_KU!#REF!</definedName>
    <definedName name="EVAŇ">Obce_s_KU!#REF!</definedName>
    <definedName name="FRANTIŠKOV_NAD_PLOUČNICÍ">Obce_s_KU!#REF!</definedName>
    <definedName name="HABROVANY">Obce_s_KU!#REF!</definedName>
    <definedName name="HÁJ_U_DUCHCOVA">Obce_s_KU!#REF!</definedName>
    <definedName name="HAVRAŇ">Obce_s_KU!#REF!</definedName>
    <definedName name="HEŘMANOV">Obce_s_KU!#REF!</definedName>
    <definedName name="HLINNÁ">Obce_s_KU!#REF!</definedName>
    <definedName name="HOLEDEČ">Obce_s_KU!#REF!</definedName>
    <definedName name="HOMOLE_U_PANNY">Obce_s_KU!#REF!</definedName>
    <definedName name="HORA_SVATÉ_KATEŘINY">Obce_s_KU!#REF!</definedName>
    <definedName name="HORA_SVATÉHO_ŠEBESTIÁNA">Obce_s_KU!#REF!</definedName>
    <definedName name="HORNÍ_BEŘKOVICE">Obce_s_KU!#REF!</definedName>
    <definedName name="HORNÍ_HABARTICE">Obce_s_KU!#REF!</definedName>
    <definedName name="HORNÍ_JIŘETÍN">Obce_s_KU!#REF!</definedName>
    <definedName name="HORNÍ_PODLUŽÍ">Obce_s_KU!#REF!</definedName>
    <definedName name="HORNÍ_ŘEPČICE">Obce_s_KU!#REF!</definedName>
    <definedName name="HOSTOMICE">Obce_s_KU!#REF!</definedName>
    <definedName name="HOŠTKA">Obce_s_KU!#REF!</definedName>
    <definedName name="HROB">Obce_s_KU!#REF!</definedName>
    <definedName name="HROBCE">Obce_s_KU!#REF!</definedName>
    <definedName name="HROBČICE">Obce_s_KU!#REF!</definedName>
    <definedName name="HRUŠOVANY">Obce_s_KU!#REF!</definedName>
    <definedName name="HŘENSKO">Obce_s_KU!#REF!</definedName>
    <definedName name="HŘÍŠKOV">Obce_s_KU!#REF!</definedName>
    <definedName name="HŘIVICE">Obce_s_KU!#REF!</definedName>
    <definedName name="HUNTÍŘOV">Obce_s_KU!#REF!</definedName>
    <definedName name="CHABAŘOVICE">Obce_s_KU!#REF!</definedName>
    <definedName name="CHBANY">Obce_s_KU!#REF!</definedName>
    <definedName name="CHLUMČANY">Obce_s_KU!#REF!</definedName>
    <definedName name="CHLUMEC">Obce_s_KU!#REF!</definedName>
    <definedName name="CHODOUNY">Obce_s_KU!#REF!</definedName>
    <definedName name="CHODOVLICE">Obce_s_KU!#REF!</definedName>
    <definedName name="CHOMUTOV">Obce_s_KU!#REF!</definedName>
    <definedName name="CHOTĚŠOV">Obce_s_KU!#REF!</definedName>
    <definedName name="CHOTIMĚŘ">Obce_s_KU!#REF!</definedName>
    <definedName name="CHOTINĚVES">Obce_s_KU!#REF!</definedName>
    <definedName name="CHOŽOV">Obce_s_KU!#REF!</definedName>
    <definedName name="CHRABERCE">Obce_s_KU!#REF!</definedName>
    <definedName name="CHŘIBSKÁ">Obce_s_KU!#REF!</definedName>
    <definedName name="CHUDEROV">Obce_s_KU!#REF!</definedName>
    <definedName name="CHUDOSLAVICE">Obce_s_KU!#REF!</definedName>
    <definedName name="JANOV">Obce_s_KU!#REF!</definedName>
    <definedName name="JANSKÁ">Obce_s_KU!#REF!</definedName>
    <definedName name="JENČICE">Obce_s_KU!#REF!</definedName>
    <definedName name="JENÍKOV">Obce_s_KU!#REF!</definedName>
    <definedName name="JETŘICHOVICE">Obce_s_KU!#REF!</definedName>
    <definedName name="JÍLOVÉ">Obce_s_KU!#REF!</definedName>
    <definedName name="JIMLÍN">Obce_s_KU!#REF!</definedName>
    <definedName name="JIRKOV">Obce_s_KU!#REF!</definedName>
    <definedName name="JIŘETÍN_POD_JEDLOVOU">Obce_s_KU!#REF!</definedName>
    <definedName name="JIŘÍKOV">Obce_s_KU!#REF!</definedName>
    <definedName name="KADAŇ">Obce_s_KU!#REF!</definedName>
    <definedName name="KALEK">Obce_s_KU!#REF!</definedName>
    <definedName name="KÁMEN">Obce_s_KU!#REF!</definedName>
    <definedName name="KAMÝK">Obce_s_KU!#REF!</definedName>
    <definedName name="KEBLICE">Obce_s_KU!#REF!</definedName>
    <definedName name="KLADRUBY">Obce_s_KU!#REF!</definedName>
    <definedName name="KLAPÝ">Obce_s_KU!#REF!</definedName>
    <definedName name="KLÁŠTEREC_NAD_OHŘÍ">Obce_s_KU!#REF!</definedName>
    <definedName name="KLENEČ">Obce_s_KU!#REF!</definedName>
    <definedName name="KLÍNY">Obce_s_KU!#REF!</definedName>
    <definedName name="KOROZLUKY">Obce_s_KU!#REF!</definedName>
    <definedName name="KOSTOMLATY_POD_MILEŠOVKOU">Obce_s_KU!#REF!</definedName>
    <definedName name="KOSTOMLATY_POD_ŘÍPEM">Obce_s_KU!#REF!</definedName>
    <definedName name="KOŠŤANY">Obce_s_KU!#REF!</definedName>
    <definedName name="KOŠTICE">Obce_s_KU!#REF!</definedName>
    <definedName name="KOVÁŘSKÁ">Obce_s_KU!#REF!</definedName>
    <definedName name="KOZLY">Obce_s_KU!#REF!</definedName>
    <definedName name="KRABČICE">Obce_s_KU!#REF!</definedName>
    <definedName name="KRÁSNÁ_LÍPA">Obce_s_KU!#REF!</definedName>
    <definedName name="KRÁSNÝ_DVŮR">Obce_s_KU!#REF!</definedName>
    <definedName name="KRUPKA">Obce_s_KU!#REF!</definedName>
    <definedName name="KRYRY">Obce_s_KU!#REF!</definedName>
    <definedName name="KRYŠTOFOVY_HAMRY">Obce_s_KU!#REF!</definedName>
    <definedName name="KŘESÍN">Obce_s_KU!#REF!</definedName>
    <definedName name="KŘEŠICE">Obce_s_KU!#REF!</definedName>
    <definedName name="KŘIMOV">Obce_s_KU!#REF!</definedName>
    <definedName name="KUNRATICE">Obce_s_KU!#REF!</definedName>
    <definedName name="KYŠKOVICE">Obce_s_KU!#REF!</definedName>
    <definedName name="KYTLICE">Obce_s_KU!#REF!</definedName>
    <definedName name="LABSKÁ_STRÁŇ">Obce_s_KU!#REF!</definedName>
    <definedName name="LAHOŠŤ">Obce_s_KU!#REF!</definedName>
    <definedName name="LEDVICE">Obce_s_KU!#REF!</definedName>
    <definedName name="LENEŠICE">Obce_s_KU!#REF!</definedName>
    <definedName name="LEVÍN">Obce_s_KU!#REF!</definedName>
    <definedName name="LHOTA">Obce_s_KU!#REF!</definedName>
    <definedName name="LHOTKA_NAD_LABEM">Obce_s_KU!#REF!</definedName>
    <definedName name="LIBČEVES">Obce_s_KU!#REF!</definedName>
    <definedName name="LIBĚDICE">Obce_s_KU!#REF!</definedName>
    <definedName name="LIBĚŠICE">Obce_s_KU!#REF!</definedName>
    <definedName name="LIBKOVICE_POD_ŘÍPEM">Obce_s_KU!#REF!</definedName>
    <definedName name="LIBOČANY">Obce_s_KU!#REF!</definedName>
    <definedName name="LIBOCHOVANY">Obce_s_KU!#REF!</definedName>
    <definedName name="LIBOCHOVICE">Obce_s_KU!#REF!</definedName>
    <definedName name="LIBOŘICE">Obce_s_KU!#REF!</definedName>
    <definedName name="LIBOTENICE">Obce_s_KU!#REF!</definedName>
    <definedName name="LIBOUCHEC">Obce_s_KU!#REF!</definedName>
    <definedName name="LIPNO">Obce_s_KU!#REF!</definedName>
    <definedName name="LIPOVÁ">Obce_s_KU!#REF!</definedName>
    <definedName name="LIŠANY">Obce_s_KU!#REF!</definedName>
    <definedName name="LIŠNICE">Obce_s_KU!#REF!</definedName>
    <definedName name="LÍŠŤANY">Obce_s_KU!#REF!</definedName>
    <definedName name="LITOMĚŘICE">Obce_s_KU!#REF!</definedName>
    <definedName name="LITVÍNOV">Obce_s_KU!#REF!</definedName>
    <definedName name="LKÁŇ">Obce_s_KU!#REF!</definedName>
    <definedName name="LOBENDAVA">Obce_s_KU!#REF!</definedName>
    <definedName name="LOM">Obce_s_KU!#REF!</definedName>
    <definedName name="LOUČNÁ_POD_KLÍNOVCEM">Obce_s_KU!#REF!</definedName>
    <definedName name="LOUKA_U_LITVÍNOVA">Obce_s_KU!#REF!</definedName>
    <definedName name="LOUNY">Obce_s_KU!#REF!</definedName>
    <definedName name="LOVEČKOVICE">Obce_s_KU!#REF!</definedName>
    <definedName name="LOVOSICE">Obce_s_KU!#REF!</definedName>
    <definedName name="LUBENEC">Obce_s_KU!#REF!</definedName>
    <definedName name="LUDVÍKOVICE">Obce_s_KU!#REF!</definedName>
    <definedName name="LUKAVEC">Obce_s_KU!#REF!</definedName>
    <definedName name="LUKOV">Obce_s_KU!#REF!</definedName>
    <definedName name="LUŽICE">Obce_s_KU!#REF!</definedName>
    <definedName name="MALÁ_VELEŇ">Obce_s_KU!#REF!</definedName>
    <definedName name="MALÉ_BŘEZNO">Obce_s_KU!#REF!</definedName>
    <definedName name="MALÉ_ŽERNOSEKY">Obce_s_KU!#REF!</definedName>
    <definedName name="MALEČOV">Obce_s_KU!#REF!</definedName>
    <definedName name="MALÍČ">Obce_s_KU!#REF!</definedName>
    <definedName name="MÁLKOV">Obce_s_KU!#REF!</definedName>
    <definedName name="MALŠOVICE">Obce_s_KU!#REF!</definedName>
    <definedName name="MARIÁNSKÉ_RADČICE">Obce_s_KU!#REF!</definedName>
    <definedName name="MARKVARTICE">Obce_s_KU!#REF!</definedName>
    <definedName name="MARTINĚVES">Obce_s_KU!#REF!</definedName>
    <definedName name="MAŠŤOV">Obce_s_KU!#REF!</definedName>
    <definedName name="MĚDĚNEC">Obce_s_KU!#REF!</definedName>
    <definedName name="MĚCHOLUPY">Obce_s_KU!#REF!</definedName>
    <definedName name="MERBOLTICE">Obce_s_KU!#REF!</definedName>
    <definedName name="MĚRUNICE">Obce_s_KU!#REF!</definedName>
    <definedName name="MEZIBOŘÍ">Obce_s_KU!#REF!</definedName>
    <definedName name="MICHALOVICE">Obce_s_KU!#REF!</definedName>
    <definedName name="MIKULÁŠOVICE">Obce_s_KU!#REF!</definedName>
    <definedName name="MIKULOV">Obce_s_KU!#REF!</definedName>
    <definedName name="MIŘEJOVICE">Obce_s_KU!#REF!</definedName>
    <definedName name="MÍSTO">Obce_s_KU!#REF!</definedName>
    <definedName name="MLÉKOJEDY">Obce_s_KU!#REF!</definedName>
    <definedName name="MNETĚŠ">Obce_s_KU!#REF!</definedName>
    <definedName name="MODLANY">Obce_s_KU!#REF!</definedName>
    <definedName name="MOLDAVA">Obce_s_KU!#REF!</definedName>
    <definedName name="MOST">Obce_s_KU!#REF!</definedName>
    <definedName name="MŠENÉ_LÁZNĚ">Obce_s_KU!#REF!</definedName>
    <definedName name="NEPOMYŠL">Obce_s_KU!#REF!</definedName>
    <definedName name="NEZABYLICE">Obce_s_KU!#REF!</definedName>
    <definedName name="NOVÁ_VES">Obce_s_KU!#REF!</definedName>
    <definedName name="NOVÁ_VES_V_HORÁCH">Obce_s_KU!#REF!</definedName>
    <definedName name="NOVÉ_DVORY">Obce_s_KU!#REF!</definedName>
    <definedName name="NOVÉ_SEDLO">Obce_s_KU!#REF!</definedName>
    <definedName name="NOVOSEDLICE">Obce_s_KU!#REF!</definedName>
    <definedName name="OBORA">Obce_s_KU!#REF!</definedName>
    <definedName name="OBRNICE">Obce_s_KU!#REF!</definedName>
    <definedName name="OČIHOV">Obce_s_KU!#REF!</definedName>
    <definedName name="OHNÍČ">Obce_s_KU!#REF!</definedName>
    <definedName name="OKOUNOV">Obce_s_KU!#REF!</definedName>
    <definedName name="OLEŠKO">Obce_s_KU!#REF!</definedName>
    <definedName name="OPOČNO">Obce_s_KU!#REF!</definedName>
    <definedName name="OSEK">Obce_s_KU!#REF!</definedName>
    <definedName name="OTVICE">Obce_s_KU!#REF!</definedName>
    <definedName name="PANENSKÝ_TÝNEC">Obce_s_KU!#REF!</definedName>
    <definedName name="PATOKRYJE">Obce_s_KU!#REF!</definedName>
    <definedName name="PERŠTEJN">Obce_s_KU!#REF!</definedName>
    <definedName name="PERUC">Obce_s_KU!#REF!</definedName>
    <definedName name="PESVICE">Obce_s_KU!#REF!</definedName>
    <definedName name="PĚTIPSY">Obce_s_KU!#REF!</definedName>
    <definedName name="PETROHRAD">Obce_s_KU!#REF!</definedName>
    <definedName name="PETROVICE">Obce_s_KU!#REF!</definedName>
    <definedName name="PÍŠŤANY">Obce_s_KU!#REF!</definedName>
    <definedName name="PLOSKOVICE">Obce_s_KU!#REF!</definedName>
    <definedName name="PNĚTLUKY">Obce_s_KU!#REF!</definedName>
    <definedName name="POČEDĚLICE">Obce_s_KU!#REF!</definedName>
    <definedName name="PODBOŘANSKÝ_ROHOZEC">Obce_s_KU!#REF!</definedName>
    <definedName name="PODBOŘANY">Obce_s_KU!#REF!</definedName>
    <definedName name="PODSEDICE">Obce_s_KU!#REF!</definedName>
    <definedName name="POLEPY">Obce_s_KU!#REF!</definedName>
    <definedName name="POLERADY">Obce_s_KU!#REF!</definedName>
    <definedName name="POSTOLOPRTY">Obce_s_KU!#REF!</definedName>
    <definedName name="POVRLY">Obce_s_KU!#REF!</definedName>
    <definedName name="PRACKOVICE_NAD_LABEM">Obce_s_KU!#REF!</definedName>
    <definedName name="PROBOŠTOV">Obce_s_KU!#REF!</definedName>
    <definedName name="PŘESTANOV">Obce_s_KU!#REF!</definedName>
    <definedName name="PŘESTAVLKY">Obce_s_KU!#REF!</definedName>
    <definedName name="RAČETICE">Obce_s_KU!#REF!</definedName>
    <definedName name="RAČICE">Obce_s_KU!#REF!</definedName>
    <definedName name="RAČINĚVES">Obce_s_KU!#REF!</definedName>
    <definedName name="RADONICE">Obce_s_KU!#REF!</definedName>
    <definedName name="RADOVESICE">Obce_s_KU!#REF!</definedName>
    <definedName name="RANÁ">Obce_s_KU!#REF!</definedName>
    <definedName name="ROČOV">Obce_s_KU!#REF!</definedName>
    <definedName name="ROCHOV">Obce_s_KU!#REF!</definedName>
    <definedName name="ROKLE">Obce_s_KU!#REF!</definedName>
    <definedName name="ROUDNICE_NAD_LABEM">Obce_s_KU!#REF!</definedName>
    <definedName name="RTYNĚ_NAD_BÍLINOU">Obce_s_KU!#REF!</definedName>
    <definedName name="RUMBURK">Obce_s_KU!#REF!</definedName>
    <definedName name="RŮŽOVÁ">Obce_s_KU!#REF!</definedName>
    <definedName name="RYBNIŠTĚ">Obce_s_KU!#REF!</definedName>
    <definedName name="RYJICE">Obce_s_KU!#REF!</definedName>
    <definedName name="ŘEHLOVICE">Obce_s_KU!#REF!</definedName>
    <definedName name="SEDLEC">Obce_s_KU!#REF!</definedName>
    <definedName name="SIŘEJOVICE">Obce_s_KU!#REF!</definedName>
    <definedName name="SKRŠÍN">Obce_s_KU!#REF!</definedName>
    <definedName name="SLATINA">Obce_s_KU!#REF!</definedName>
    <definedName name="SLAVĚTÍN">Obce_s_KU!#REF!</definedName>
    <definedName name="SMOLNICE">Obce_s_KU!#REF!</definedName>
    <definedName name="SNĚDOVICE">Obce_s_KU!#REF!</definedName>
    <definedName name="SPOŘICE">Obce_s_KU!#REF!</definedName>
    <definedName name="SRBICE">Obce_s_KU!#REF!</definedName>
    <definedName name="SRBSKÁ_KAMENICE">Obce_s_KU!#REF!</definedName>
    <definedName name="STAŇKOVICE">Obce_s_KU!#REF!</definedName>
    <definedName name="STARÉ_KŘEČANY">Obce_s_KU!#REF!</definedName>
    <definedName name="STARÝ_ŠACHOV">Obce_s_KU!#REF!</definedName>
    <definedName name="STEBNO">Obce_s_KU!#REF!</definedName>
    <definedName name="STRAŠKOV_VODOCHODY">Obce_s_KU!#REF!</definedName>
    <definedName name="STRUPČICE">Obce_s_KU!#REF!</definedName>
    <definedName name="SULEJOVICE">Obce_s_KU!#REF!</definedName>
    <definedName name="SVĚTEC">Obce_s_KU!#REF!</definedName>
    <definedName name="ŠLUKNOV">Obce_s_KU!#REF!</definedName>
    <definedName name="ŠTĚTÍ">Obce_s_KU!#REF!</definedName>
    <definedName name="TAŠOV">Obce_s_KU!#REF!</definedName>
    <definedName name="TĚCHLOVICE">Obce_s_KU!#REF!</definedName>
    <definedName name="TELNICE">Obce_s_KU!#REF!</definedName>
    <definedName name="TEPLICE">Obce_s_KU!#REF!</definedName>
    <definedName name="TEREZÍN">Obce_s_KU!#REF!</definedName>
    <definedName name="TISÁ">Obce_s_KU!#REF!</definedName>
    <definedName name="TOUŽETÍN">Obce_s_KU!#REF!</definedName>
    <definedName name="TRAVČICE">Obce_s_KU!#REF!</definedName>
    <definedName name="TRMICE">Obce_s_KU!#REF!</definedName>
    <definedName name="TRNOVANY">Obce_s_KU!#REF!</definedName>
    <definedName name="TŘEBENICE">Obce_s_KU!#REF!</definedName>
    <definedName name="TŘEBÍVLICE">Obce_s_KU!#REF!</definedName>
    <definedName name="TŘEBUŠÍN">Obce_s_KU!#REF!</definedName>
    <definedName name="TUCHOŘICE">Obce_s_KU!#REF!</definedName>
    <definedName name="ÚDLICE">Obce_s_KU!#REF!</definedName>
    <definedName name="ÚHERCE">Obce_s_KU!#REF!</definedName>
    <definedName name="ÚJEZDEČEK">Obce_s_KU!#REF!</definedName>
    <definedName name="ÚPOHLAVY">Obce_s_KU!#REF!</definedName>
    <definedName name="ÚSTÍ_NAD_LABEM_1">Obce_s_KU!#REF!</definedName>
    <definedName name="ÚSTÍ_NAD_LABEM_SEVERNÍ_TERASA">Obce_s_KU!#REF!</definedName>
    <definedName name="ÚŠTĚK">Obce_s_KU!#REF!</definedName>
    <definedName name="VALKEŘICE">Obce_s_KU!#REF!</definedName>
    <definedName name="VARNSDORF">Obce_s_KU!#REF!</definedName>
    <definedName name="VĚDOMICE">Obce_s_KU!#REF!</definedName>
    <definedName name="VEJPRTY">Obce_s_KU!#REF!</definedName>
    <definedName name="VELEMÍN">Obce_s_KU!#REF!</definedName>
    <definedName name="VELEMYŠLEVES">Obce_s_KU!#REF!</definedName>
    <definedName name="VELIKÁ_VES">Obce_s_KU!#REF!</definedName>
    <definedName name="VELKÁ_BUKOVINA">Obce_s_KU!#REF!</definedName>
    <definedName name="VELKÉ_BŘEZNO">Obce_s_KU!#REF!</definedName>
    <definedName name="VELKÉ_CHVOJNO">Obce_s_KU!#REF!</definedName>
    <definedName name="VELKÉ_ŽERNOSEKY">Obce_s_KU!#REF!</definedName>
    <definedName name="VELKÝ_ŠENOV">Obce_s_KU!#REF!</definedName>
    <definedName name="VELTĚŽE">Obce_s_KU!#REF!</definedName>
    <definedName name="VERNEŘICE">Obce_s_KU!#REF!</definedName>
    <definedName name="VESELÉ">Obce_s_KU!#REF!</definedName>
    <definedName name="VCHYNICE">Obce_s_KU!#REF!</definedName>
    <definedName name="VILÉMOV">Obce_s_KU!#REF!</definedName>
    <definedName name="VINAŘICE">Obce_s_KU!#REF!</definedName>
    <definedName name="VLASTISLAV">Obce_s_KU!#REF!</definedName>
    <definedName name="VOLEVČICE">Obce_s_KU!#REF!</definedName>
    <definedName name="VRAŽKOV">Obce_s_KU!#REF!</definedName>
    <definedName name="VRBICE">Obce_s_KU!#REF!</definedName>
    <definedName name="VRBIČANY">Obce_s_KU!#REF!</definedName>
    <definedName name="VRBNO_NAD_LESY">Obce_s_KU!#REF!</definedName>
    <definedName name="VROUTEK">Obce_s_KU!#REF!</definedName>
    <definedName name="VRSKMAŇ">Obce_s_KU!#REF!</definedName>
    <definedName name="VRŠOVICE">Obce_s_KU!#REF!</definedName>
    <definedName name="VRUTICE">Obce_s_KU!#REF!</definedName>
    <definedName name="VŠEHRDY">Obce_s_KU!#REF!</definedName>
    <definedName name="VŠESTUDY">Obce_s_KU!#REF!</definedName>
    <definedName name="VÝSLUNÍ">Obce_s_KU!#REF!</definedName>
    <definedName name="VYSOKÁ_PEC">Obce_s_KU!#REF!</definedName>
    <definedName name="VÝŠKOV">Obce_s_KU!#REF!</definedName>
    <definedName name="ZABRUŠANY">Obce_s_KU!#REF!</definedName>
    <definedName name="ZÁLUŽÍ">Obce_s_KU!#REF!</definedName>
    <definedName name="ZÁLUŽICE">Obce_s_KU!#REF!</definedName>
    <definedName name="ZBRAŠÍN">Obce_s_KU!#REF!</definedName>
    <definedName name="ZUBRNICE">Obce_s_KU!#REF!</definedName>
    <definedName name="ŽABOVŘESKY_NAD_OHŘÍ">Obce_s_KU!#REF!</definedName>
    <definedName name="ŽALANY">Obce_s_KU!#REF!</definedName>
    <definedName name="ŽALHOSTICE">Obce_s_KU!#REF!</definedName>
    <definedName name="ŽATEC">Obce_s_KU!#REF!</definedName>
    <definedName name="ŽELENICE">Obce_s_KU!#REF!</definedName>
    <definedName name="ŽELKOVICE">Obce_s_KU!#REF!</definedName>
    <definedName name="ŽEROTÍN">Obce_s_KU!#REF!</definedName>
    <definedName name="ŽIDOVICE">Obce_s_KU!#REF!</definedName>
    <definedName name="ŽIM">Obce_s_KU!#REF!</definedName>
    <definedName name="ŽITENICE">Obce_s_KU!#REF!</definedName>
    <definedName name="ŽIŽELICE">Obce_s_KU!#REF!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7" i="31" l="1"/>
  <c r="Z54" i="31"/>
  <c r="Z51" i="31"/>
  <c r="Z48" i="31"/>
  <c r="Z49" i="31" s="1"/>
  <c r="Z45" i="31"/>
  <c r="Z42" i="31"/>
  <c r="Z39" i="31"/>
  <c r="Z40" i="31" s="1"/>
  <c r="Z36" i="31"/>
  <c r="Z37" i="31" s="1"/>
  <c r="Z33" i="31"/>
  <c r="Z30" i="31"/>
  <c r="Z27" i="31"/>
  <c r="Z24" i="31"/>
  <c r="Z21" i="31"/>
  <c r="Z18" i="31"/>
  <c r="Z15" i="31"/>
  <c r="Z12" i="31"/>
  <c r="Z13" i="31" s="1"/>
  <c r="Z9" i="31"/>
  <c r="Z6" i="31"/>
  <c r="Z3" i="31"/>
  <c r="Y57" i="31"/>
  <c r="Y54" i="31"/>
  <c r="Y51" i="31"/>
  <c r="Y48" i="31"/>
  <c r="Y49" i="31" s="1"/>
  <c r="Y45" i="31"/>
  <c r="Y42" i="31"/>
  <c r="Y39" i="31"/>
  <c r="Y36" i="31"/>
  <c r="Y33" i="31"/>
  <c r="Y30" i="31"/>
  <c r="Y27" i="31"/>
  <c r="Y24" i="31"/>
  <c r="Y25" i="31" s="1"/>
  <c r="Y21" i="31"/>
  <c r="Y18" i="31"/>
  <c r="Y15" i="31"/>
  <c r="Y12" i="31"/>
  <c r="Y13" i="31" s="1"/>
  <c r="Y9" i="31"/>
  <c r="Y6" i="31"/>
  <c r="Y3" i="31"/>
  <c r="X57" i="31"/>
  <c r="X54" i="31"/>
  <c r="X51" i="31"/>
  <c r="X48" i="31"/>
  <c r="X49" i="31" s="1"/>
  <c r="X45" i="31"/>
  <c r="X42" i="31"/>
  <c r="X39" i="31"/>
  <c r="X40" i="31" s="1"/>
  <c r="X36" i="31"/>
  <c r="X33" i="31"/>
  <c r="X30" i="31"/>
  <c r="X27" i="31"/>
  <c r="X24" i="31"/>
  <c r="X25" i="31" s="1"/>
  <c r="X21" i="31"/>
  <c r="X18" i="31"/>
  <c r="X15" i="31"/>
  <c r="X12" i="31"/>
  <c r="X13" i="31" s="1"/>
  <c r="X9" i="31"/>
  <c r="X6" i="31"/>
  <c r="X3" i="31"/>
  <c r="W57" i="31"/>
  <c r="W54" i="31"/>
  <c r="W51" i="31"/>
  <c r="W48" i="31"/>
  <c r="W49" i="31" s="1"/>
  <c r="W45" i="31"/>
  <c r="W42" i="31"/>
  <c r="W39" i="31"/>
  <c r="W36" i="31"/>
  <c r="W37" i="31" s="1"/>
  <c r="W33" i="31"/>
  <c r="W30" i="31"/>
  <c r="W27" i="31"/>
  <c r="W24" i="31"/>
  <c r="W25" i="31" s="1"/>
  <c r="W21" i="31"/>
  <c r="W18" i="31"/>
  <c r="W15" i="31"/>
  <c r="W12" i="31"/>
  <c r="W9" i="31"/>
  <c r="W6" i="31"/>
  <c r="W3" i="31"/>
  <c r="V57" i="31"/>
  <c r="V54" i="31"/>
  <c r="V51" i="31"/>
  <c r="V48" i="31"/>
  <c r="V49" i="31" s="1"/>
  <c r="V45" i="31"/>
  <c r="V42" i="31"/>
  <c r="V39" i="31"/>
  <c r="V36" i="31"/>
  <c r="V33" i="31"/>
  <c r="V30" i="31"/>
  <c r="V27" i="31"/>
  <c r="V24" i="31"/>
  <c r="V21" i="31"/>
  <c r="V18" i="31"/>
  <c r="V15" i="31"/>
  <c r="V12" i="31"/>
  <c r="V13" i="31" s="1"/>
  <c r="V9" i="31"/>
  <c r="V6" i="31"/>
  <c r="V3" i="31"/>
  <c r="U57" i="31"/>
  <c r="U54" i="31"/>
  <c r="U51" i="31"/>
  <c r="U48" i="31"/>
  <c r="U45" i="31"/>
  <c r="U42" i="31"/>
  <c r="U39" i="31"/>
  <c r="U36" i="31"/>
  <c r="U37" i="31" s="1"/>
  <c r="U33" i="31"/>
  <c r="U30" i="31"/>
  <c r="U27" i="31"/>
  <c r="U24" i="31"/>
  <c r="U25" i="31" s="1"/>
  <c r="U21" i="31"/>
  <c r="U18" i="31"/>
  <c r="U15" i="31"/>
  <c r="U12" i="31"/>
  <c r="U9" i="31"/>
  <c r="U6" i="31"/>
  <c r="U3" i="31"/>
  <c r="T57" i="31"/>
  <c r="T54" i="31"/>
  <c r="T51" i="31"/>
  <c r="T48" i="31"/>
  <c r="T49" i="31" s="1"/>
  <c r="T45" i="31"/>
  <c r="T42" i="31"/>
  <c r="T39" i="31"/>
  <c r="T36" i="31"/>
  <c r="T37" i="31" s="1"/>
  <c r="T33" i="31"/>
  <c r="T30" i="31"/>
  <c r="T27" i="31"/>
  <c r="T24" i="31"/>
  <c r="T25" i="31" s="1"/>
  <c r="T21" i="31"/>
  <c r="T18" i="31"/>
  <c r="T15" i="31"/>
  <c r="T12" i="31"/>
  <c r="T13" i="31" s="1"/>
  <c r="T9" i="31"/>
  <c r="T6" i="31"/>
  <c r="T3" i="31"/>
  <c r="S57" i="31"/>
  <c r="S54" i="31"/>
  <c r="S55" i="31" s="1"/>
  <c r="S51" i="31"/>
  <c r="S48" i="31"/>
  <c r="S49" i="31" s="1"/>
  <c r="S45" i="31"/>
  <c r="S42" i="31"/>
  <c r="S43" i="31" s="1"/>
  <c r="S39" i="31"/>
  <c r="S36" i="31"/>
  <c r="S37" i="31" s="1"/>
  <c r="S33" i="31"/>
  <c r="S30" i="31"/>
  <c r="S31" i="31" s="1"/>
  <c r="S27" i="31"/>
  <c r="S24" i="31"/>
  <c r="S25" i="31" s="1"/>
  <c r="S21" i="31"/>
  <c r="S18" i="31"/>
  <c r="S19" i="31" s="1"/>
  <c r="S15" i="31"/>
  <c r="S12" i="31"/>
  <c r="S9" i="31"/>
  <c r="S6" i="31"/>
  <c r="S3" i="31"/>
  <c r="R57" i="31"/>
  <c r="R54" i="31"/>
  <c r="R51" i="31"/>
  <c r="R48" i="31"/>
  <c r="R45" i="31"/>
  <c r="R42" i="31"/>
  <c r="R39" i="31"/>
  <c r="R36" i="31"/>
  <c r="R33" i="31"/>
  <c r="R30" i="31"/>
  <c r="R27" i="31"/>
  <c r="R24" i="31"/>
  <c r="R21" i="31"/>
  <c r="R18" i="31"/>
  <c r="R15" i="31"/>
  <c r="R12" i="31"/>
  <c r="R13" i="31" s="1"/>
  <c r="R9" i="31"/>
  <c r="R6" i="31"/>
  <c r="R3" i="31"/>
  <c r="Q57" i="31"/>
  <c r="Q54" i="31"/>
  <c r="Q51" i="31"/>
  <c r="Q48" i="31"/>
  <c r="Q45" i="31"/>
  <c r="Q42" i="31"/>
  <c r="Q39" i="31"/>
  <c r="Q36" i="31"/>
  <c r="Q33" i="31"/>
  <c r="Q30" i="31"/>
  <c r="Q27" i="31"/>
  <c r="Q24" i="31"/>
  <c r="Q25" i="31" s="1"/>
  <c r="Q21" i="31"/>
  <c r="Q18" i="31"/>
  <c r="Q15" i="31"/>
  <c r="Q12" i="31"/>
  <c r="Q13" i="31" s="1"/>
  <c r="Q9" i="31"/>
  <c r="Q6" i="31"/>
  <c r="Q3" i="31"/>
  <c r="P57" i="31"/>
  <c r="P54" i="31"/>
  <c r="P51" i="31"/>
  <c r="P48" i="31"/>
  <c r="P49" i="31" s="1"/>
  <c r="P45" i="31"/>
  <c r="P42" i="31"/>
  <c r="P39" i="31"/>
  <c r="P36" i="31"/>
  <c r="P37" i="31" s="1"/>
  <c r="P33" i="31"/>
  <c r="P30" i="31"/>
  <c r="P27" i="31"/>
  <c r="P24" i="31"/>
  <c r="P25" i="31" s="1"/>
  <c r="P21" i="31"/>
  <c r="P18" i="31"/>
  <c r="P15" i="31"/>
  <c r="P12" i="31"/>
  <c r="P13" i="31" s="1"/>
  <c r="P9" i="31"/>
  <c r="P6" i="31"/>
  <c r="P3" i="31"/>
  <c r="O57" i="31"/>
  <c r="O54" i="31"/>
  <c r="O55" i="31" s="1"/>
  <c r="O51" i="31"/>
  <c r="O48" i="31"/>
  <c r="O49" i="31" s="1"/>
  <c r="O45" i="31"/>
  <c r="O42" i="31"/>
  <c r="O39" i="31"/>
  <c r="O40" i="31" s="1"/>
  <c r="O36" i="31"/>
  <c r="O37" i="31" s="1"/>
  <c r="O33" i="31"/>
  <c r="O30" i="31"/>
  <c r="O27" i="31"/>
  <c r="O28" i="31" s="1"/>
  <c r="O24" i="31"/>
  <c r="O21" i="31"/>
  <c r="O18" i="31"/>
  <c r="O15" i="31"/>
  <c r="O12" i="31"/>
  <c r="O13" i="31" s="1"/>
  <c r="O9" i="31"/>
  <c r="O6" i="31"/>
  <c r="O7" i="31" s="1"/>
  <c r="O3" i="31"/>
  <c r="N57" i="31"/>
  <c r="N54" i="31"/>
  <c r="N51" i="31"/>
  <c r="N48" i="31"/>
  <c r="N49" i="31" s="1"/>
  <c r="N45" i="31"/>
  <c r="N42" i="31"/>
  <c r="N39" i="31"/>
  <c r="N36" i="31"/>
  <c r="N37" i="31" s="1"/>
  <c r="N33" i="31"/>
  <c r="N30" i="31"/>
  <c r="N27" i="31"/>
  <c r="N24" i="31"/>
  <c r="N25" i="31" s="1"/>
  <c r="N21" i="31"/>
  <c r="N18" i="31"/>
  <c r="N15" i="31"/>
  <c r="N12" i="31"/>
  <c r="N13" i="31" s="1"/>
  <c r="N9" i="31"/>
  <c r="N6" i="31"/>
  <c r="N3" i="31"/>
  <c r="N4" i="31" s="1"/>
  <c r="B57" i="31"/>
  <c r="B58" i="31" s="1"/>
  <c r="B54" i="31"/>
  <c r="B51" i="31"/>
  <c r="B48" i="31"/>
  <c r="B49" i="31" s="1"/>
  <c r="B45" i="31"/>
  <c r="B46" i="31" s="1"/>
  <c r="B42" i="31"/>
  <c r="B43" i="31" s="1"/>
  <c r="B39" i="31"/>
  <c r="B36" i="31"/>
  <c r="B37" i="31" s="1"/>
  <c r="B33" i="31"/>
  <c r="B34" i="31" s="1"/>
  <c r="B30" i="31"/>
  <c r="B27" i="31"/>
  <c r="B24" i="31"/>
  <c r="B25" i="31" s="1"/>
  <c r="B21" i="31"/>
  <c r="B22" i="31" s="1"/>
  <c r="B18" i="31"/>
  <c r="B15" i="31"/>
  <c r="B12" i="31"/>
  <c r="B13" i="31" s="1"/>
  <c r="B9" i="31"/>
  <c r="B10" i="31" s="1"/>
  <c r="B6" i="31"/>
  <c r="Q7" i="31"/>
  <c r="U7" i="31"/>
  <c r="Y7" i="31"/>
  <c r="N7" i="31"/>
  <c r="P7" i="31"/>
  <c r="R7" i="31"/>
  <c r="S7" i="31"/>
  <c r="T7" i="31"/>
  <c r="V7" i="31"/>
  <c r="W7" i="31"/>
  <c r="X7" i="31"/>
  <c r="Z7" i="31"/>
  <c r="O10" i="31"/>
  <c r="S10" i="31"/>
  <c r="W10" i="31"/>
  <c r="N10" i="31"/>
  <c r="P10" i="31"/>
  <c r="Q10" i="31"/>
  <c r="R10" i="31"/>
  <c r="T10" i="31"/>
  <c r="U10" i="31"/>
  <c r="V10" i="31"/>
  <c r="X10" i="31"/>
  <c r="Y10" i="31"/>
  <c r="Z10" i="31"/>
  <c r="U13" i="31"/>
  <c r="S13" i="31"/>
  <c r="W13" i="31"/>
  <c r="O16" i="31"/>
  <c r="S16" i="31"/>
  <c r="W16" i="31"/>
  <c r="N16" i="31"/>
  <c r="P16" i="31"/>
  <c r="Q16" i="31"/>
  <c r="R16" i="31"/>
  <c r="T16" i="31"/>
  <c r="U16" i="31"/>
  <c r="V16" i="31"/>
  <c r="X16" i="31"/>
  <c r="Y16" i="31"/>
  <c r="Z16" i="31"/>
  <c r="Q19" i="31"/>
  <c r="U19" i="31"/>
  <c r="Y19" i="31"/>
  <c r="N19" i="31"/>
  <c r="O19" i="31"/>
  <c r="P19" i="31"/>
  <c r="R19" i="31"/>
  <c r="T19" i="31"/>
  <c r="V19" i="31"/>
  <c r="W19" i="31"/>
  <c r="X19" i="31"/>
  <c r="Z19" i="31"/>
  <c r="O22" i="31"/>
  <c r="S22" i="31"/>
  <c r="W22" i="31"/>
  <c r="N22" i="31"/>
  <c r="P22" i="31"/>
  <c r="Q22" i="31"/>
  <c r="R22" i="31"/>
  <c r="T22" i="31"/>
  <c r="U22" i="31"/>
  <c r="V22" i="31"/>
  <c r="X22" i="31"/>
  <c r="Y22" i="31"/>
  <c r="Z22" i="31"/>
  <c r="O25" i="31"/>
  <c r="R25" i="31"/>
  <c r="V25" i="31"/>
  <c r="Z25" i="31"/>
  <c r="S28" i="31"/>
  <c r="W28" i="31"/>
  <c r="N28" i="31"/>
  <c r="P28" i="31"/>
  <c r="Q28" i="31"/>
  <c r="R28" i="31"/>
  <c r="T28" i="31"/>
  <c r="U28" i="31"/>
  <c r="V28" i="31"/>
  <c r="X28" i="31"/>
  <c r="Y28" i="31"/>
  <c r="Z28" i="31"/>
  <c r="Q31" i="31"/>
  <c r="U31" i="31"/>
  <c r="Y31" i="31"/>
  <c r="N31" i="31"/>
  <c r="O31" i="31"/>
  <c r="P31" i="31"/>
  <c r="R31" i="31"/>
  <c r="T31" i="31"/>
  <c r="V31" i="31"/>
  <c r="W31" i="31"/>
  <c r="X31" i="31"/>
  <c r="Z31" i="31"/>
  <c r="O34" i="31"/>
  <c r="S34" i="31"/>
  <c r="W34" i="31"/>
  <c r="N34" i="31"/>
  <c r="P34" i="31"/>
  <c r="Q34" i="31"/>
  <c r="R34" i="31"/>
  <c r="T34" i="31"/>
  <c r="U34" i="31"/>
  <c r="V34" i="31"/>
  <c r="X34" i="31"/>
  <c r="Y34" i="31"/>
  <c r="Z34" i="31"/>
  <c r="Q37" i="31"/>
  <c r="Y37" i="31"/>
  <c r="R37" i="31"/>
  <c r="V37" i="31"/>
  <c r="X37" i="31"/>
  <c r="S40" i="31"/>
  <c r="W40" i="31"/>
  <c r="N40" i="31"/>
  <c r="P40" i="31"/>
  <c r="Q40" i="31"/>
  <c r="R40" i="31"/>
  <c r="T40" i="31"/>
  <c r="U40" i="31"/>
  <c r="V40" i="31"/>
  <c r="Y40" i="31"/>
  <c r="Q43" i="31"/>
  <c r="U43" i="31"/>
  <c r="Y43" i="31"/>
  <c r="N43" i="31"/>
  <c r="O43" i="31"/>
  <c r="P43" i="31"/>
  <c r="R43" i="31"/>
  <c r="T43" i="31"/>
  <c r="V43" i="31"/>
  <c r="W43" i="31"/>
  <c r="X43" i="31"/>
  <c r="Z43" i="31"/>
  <c r="O46" i="31"/>
  <c r="S46" i="31"/>
  <c r="W46" i="31"/>
  <c r="N46" i="31"/>
  <c r="P46" i="31"/>
  <c r="Q46" i="31"/>
  <c r="R46" i="31"/>
  <c r="T46" i="31"/>
  <c r="U46" i="31"/>
  <c r="V46" i="31"/>
  <c r="X46" i="31"/>
  <c r="Y46" i="31"/>
  <c r="Z46" i="31"/>
  <c r="Q49" i="31"/>
  <c r="U49" i="31"/>
  <c r="R49" i="31"/>
  <c r="O52" i="31"/>
  <c r="S52" i="31"/>
  <c r="W52" i="31"/>
  <c r="N52" i="31"/>
  <c r="P52" i="31"/>
  <c r="Q52" i="31"/>
  <c r="R52" i="31"/>
  <c r="T52" i="31"/>
  <c r="U52" i="31"/>
  <c r="V52" i="31"/>
  <c r="X52" i="31"/>
  <c r="Y52" i="31"/>
  <c r="Z52" i="31"/>
  <c r="Q55" i="31"/>
  <c r="U55" i="31"/>
  <c r="Y55" i="31"/>
  <c r="N55" i="31"/>
  <c r="P55" i="31"/>
  <c r="R55" i="31"/>
  <c r="T55" i="31"/>
  <c r="V55" i="31"/>
  <c r="W55" i="31"/>
  <c r="X55" i="31"/>
  <c r="Z55" i="31"/>
  <c r="O58" i="31"/>
  <c r="S58" i="31"/>
  <c r="W58" i="31"/>
  <c r="N58" i="31"/>
  <c r="P58" i="31"/>
  <c r="Q58" i="31"/>
  <c r="R58" i="31"/>
  <c r="T58" i="31"/>
  <c r="U58" i="31"/>
  <c r="V58" i="31"/>
  <c r="X58" i="31"/>
  <c r="Y58" i="31"/>
  <c r="Z58" i="31"/>
  <c r="Q4" i="31"/>
  <c r="U4" i="31"/>
  <c r="Y4" i="31"/>
  <c r="O4" i="31"/>
  <c r="P4" i="31"/>
  <c r="R4" i="31"/>
  <c r="S4" i="31"/>
  <c r="T4" i="31"/>
  <c r="V4" i="31"/>
  <c r="W4" i="31"/>
  <c r="X4" i="31"/>
  <c r="Z4" i="31"/>
  <c r="M57" i="31"/>
  <c r="M54" i="31"/>
  <c r="M51" i="31"/>
  <c r="M48" i="31"/>
  <c r="M49" i="31" s="1"/>
  <c r="M45" i="31"/>
  <c r="M42" i="31"/>
  <c r="M39" i="31"/>
  <c r="M36" i="31"/>
  <c r="M37" i="31" s="1"/>
  <c r="M33" i="31"/>
  <c r="M30" i="31"/>
  <c r="M27" i="31"/>
  <c r="M24" i="31"/>
  <c r="M25" i="31" s="1"/>
  <c r="M21" i="31"/>
  <c r="M18" i="31"/>
  <c r="M15" i="31"/>
  <c r="M12" i="31"/>
  <c r="M13" i="31" s="1"/>
  <c r="M9" i="31"/>
  <c r="M6" i="31"/>
  <c r="M3" i="31"/>
  <c r="L57" i="31"/>
  <c r="L54" i="31"/>
  <c r="L51" i="31"/>
  <c r="L48" i="31"/>
  <c r="L49" i="31" s="1"/>
  <c r="L45" i="31"/>
  <c r="L42" i="31"/>
  <c r="L39" i="31"/>
  <c r="L36" i="31"/>
  <c r="L37" i="31" s="1"/>
  <c r="L33" i="31"/>
  <c r="L30" i="31"/>
  <c r="L27" i="31"/>
  <c r="L24" i="31"/>
  <c r="L25" i="31" s="1"/>
  <c r="L21" i="31"/>
  <c r="L18" i="31"/>
  <c r="L15" i="31"/>
  <c r="L12" i="31"/>
  <c r="L13" i="31" s="1"/>
  <c r="L9" i="31"/>
  <c r="L6" i="31"/>
  <c r="L3" i="31"/>
  <c r="K57" i="31"/>
  <c r="K54" i="31"/>
  <c r="K51" i="31"/>
  <c r="K52" i="31" s="1"/>
  <c r="K48" i="31"/>
  <c r="K49" i="31" s="1"/>
  <c r="K45" i="31"/>
  <c r="K42" i="31"/>
  <c r="K39" i="31"/>
  <c r="K40" i="31" s="1"/>
  <c r="K36" i="31"/>
  <c r="K37" i="31" s="1"/>
  <c r="K33" i="31"/>
  <c r="K30" i="31"/>
  <c r="K27" i="31"/>
  <c r="K28" i="31" s="1"/>
  <c r="K24" i="31"/>
  <c r="K25" i="31" s="1"/>
  <c r="K21" i="31"/>
  <c r="K18" i="31"/>
  <c r="K15" i="31"/>
  <c r="K16" i="31" s="1"/>
  <c r="K12" i="31"/>
  <c r="K13" i="31" s="1"/>
  <c r="K9" i="31"/>
  <c r="K6" i="31"/>
  <c r="K3" i="31"/>
  <c r="K4" i="31" s="1"/>
  <c r="J57" i="31"/>
  <c r="J54" i="31"/>
  <c r="J51" i="31"/>
  <c r="J48" i="31"/>
  <c r="J49" i="31" s="1"/>
  <c r="J45" i="31"/>
  <c r="J42" i="31"/>
  <c r="J39" i="31"/>
  <c r="J36" i="31"/>
  <c r="J37" i="31" s="1"/>
  <c r="J33" i="31"/>
  <c r="J30" i="31"/>
  <c r="J27" i="31"/>
  <c r="J24" i="31"/>
  <c r="J25" i="31" s="1"/>
  <c r="J21" i="31"/>
  <c r="J18" i="31"/>
  <c r="J15" i="31"/>
  <c r="J12" i="31"/>
  <c r="J13" i="31" s="1"/>
  <c r="J9" i="31"/>
  <c r="J6" i="31"/>
  <c r="J3" i="31"/>
  <c r="I57" i="31"/>
  <c r="I54" i="31"/>
  <c r="I51" i="31"/>
  <c r="I52" i="31" s="1"/>
  <c r="I48" i="31"/>
  <c r="I49" i="31" s="1"/>
  <c r="I45" i="31"/>
  <c r="I42" i="31"/>
  <c r="I39" i="31"/>
  <c r="I40" i="31" s="1"/>
  <c r="I36" i="31"/>
  <c r="I37" i="31" s="1"/>
  <c r="I33" i="31"/>
  <c r="I30" i="31"/>
  <c r="I27" i="31"/>
  <c r="I28" i="31" s="1"/>
  <c r="I24" i="31"/>
  <c r="I25" i="31" s="1"/>
  <c r="I21" i="31"/>
  <c r="I18" i="31"/>
  <c r="I15" i="31"/>
  <c r="I16" i="31" s="1"/>
  <c r="I12" i="31"/>
  <c r="I13" i="31" s="1"/>
  <c r="I9" i="31"/>
  <c r="I6" i="31"/>
  <c r="I3" i="31"/>
  <c r="H57" i="31"/>
  <c r="H54" i="31"/>
  <c r="H51" i="31"/>
  <c r="H48" i="31"/>
  <c r="H49" i="31" s="1"/>
  <c r="H45" i="31"/>
  <c r="H42" i="31"/>
  <c r="H39" i="31"/>
  <c r="H36" i="31"/>
  <c r="H37" i="31" s="1"/>
  <c r="H33" i="31"/>
  <c r="H30" i="31"/>
  <c r="H27" i="31"/>
  <c r="H24" i="31"/>
  <c r="H25" i="31" s="1"/>
  <c r="H21" i="31"/>
  <c r="H18" i="31"/>
  <c r="H15" i="31"/>
  <c r="H12" i="31"/>
  <c r="H13" i="31" s="1"/>
  <c r="H9" i="31"/>
  <c r="H6" i="31"/>
  <c r="H3" i="31"/>
  <c r="G57" i="31"/>
  <c r="G54" i="31"/>
  <c r="G51" i="31"/>
  <c r="G48" i="31"/>
  <c r="G45" i="31"/>
  <c r="G42" i="31"/>
  <c r="G39" i="31"/>
  <c r="G36" i="31"/>
  <c r="G37" i="31" s="1"/>
  <c r="G33" i="31"/>
  <c r="G30" i="31"/>
  <c r="AB30" i="31" s="1"/>
  <c r="G27" i="31"/>
  <c r="G24" i="31"/>
  <c r="G21" i="31"/>
  <c r="G18" i="31"/>
  <c r="AB18" i="31" s="1"/>
  <c r="G15" i="31"/>
  <c r="G12" i="31"/>
  <c r="G9" i="31"/>
  <c r="G6" i="31"/>
  <c r="G3" i="31"/>
  <c r="F57" i="31"/>
  <c r="F54" i="31"/>
  <c r="F55" i="31" s="1"/>
  <c r="F51" i="31"/>
  <c r="F52" i="31" s="1"/>
  <c r="F48" i="31"/>
  <c r="F49" i="31" s="1"/>
  <c r="F45" i="31"/>
  <c r="F42" i="31"/>
  <c r="F43" i="31" s="1"/>
  <c r="F39" i="31"/>
  <c r="F40" i="31" s="1"/>
  <c r="F36" i="31"/>
  <c r="F37" i="31" s="1"/>
  <c r="F33" i="31"/>
  <c r="F30" i="31"/>
  <c r="F31" i="31" s="1"/>
  <c r="F27" i="31"/>
  <c r="F28" i="31" s="1"/>
  <c r="F24" i="31"/>
  <c r="F25" i="31" s="1"/>
  <c r="F21" i="31"/>
  <c r="F18" i="31"/>
  <c r="F15" i="31"/>
  <c r="F16" i="31" s="1"/>
  <c r="F12" i="31"/>
  <c r="F13" i="31" s="1"/>
  <c r="F9" i="31"/>
  <c r="F6" i="31"/>
  <c r="F3" i="31"/>
  <c r="F4" i="31" s="1"/>
  <c r="E57" i="31"/>
  <c r="E54" i="31"/>
  <c r="E51" i="31"/>
  <c r="E52" i="31" s="1"/>
  <c r="E48" i="31"/>
  <c r="E49" i="31" s="1"/>
  <c r="E45" i="31"/>
  <c r="E46" i="31" s="1"/>
  <c r="E42" i="31"/>
  <c r="E43" i="31" s="1"/>
  <c r="E39" i="31"/>
  <c r="E36" i="31"/>
  <c r="E37" i="31" s="1"/>
  <c r="E33" i="31"/>
  <c r="E30" i="31"/>
  <c r="E27" i="31"/>
  <c r="E24" i="31"/>
  <c r="E25" i="31" s="1"/>
  <c r="E21" i="31"/>
  <c r="E18" i="31"/>
  <c r="E15" i="31"/>
  <c r="E12" i="31"/>
  <c r="E13" i="31" s="1"/>
  <c r="E9" i="31"/>
  <c r="E6" i="31"/>
  <c r="E3" i="31"/>
  <c r="D57" i="31"/>
  <c r="D54" i="31"/>
  <c r="D55" i="31" s="1"/>
  <c r="D51" i="31"/>
  <c r="D52" i="31" s="1"/>
  <c r="D48" i="31"/>
  <c r="D49" i="31" s="1"/>
  <c r="D45" i="31"/>
  <c r="D46" i="31" s="1"/>
  <c r="D42" i="31"/>
  <c r="D39" i="31"/>
  <c r="D40" i="31" s="1"/>
  <c r="D36" i="31"/>
  <c r="D37" i="31" s="1"/>
  <c r="D33" i="31"/>
  <c r="D34" i="31" s="1"/>
  <c r="D30" i="31"/>
  <c r="D27" i="31"/>
  <c r="D24" i="31"/>
  <c r="D25" i="31" s="1"/>
  <c r="D21" i="31"/>
  <c r="D22" i="31" s="1"/>
  <c r="D18" i="31"/>
  <c r="D15" i="31"/>
  <c r="D12" i="31"/>
  <c r="D13" i="31" s="1"/>
  <c r="D9" i="31"/>
  <c r="D6" i="31"/>
  <c r="D3" i="31"/>
  <c r="C57" i="31"/>
  <c r="C54" i="31"/>
  <c r="C55" i="31" s="1"/>
  <c r="C51" i="31"/>
  <c r="C48" i="31"/>
  <c r="C45" i="31"/>
  <c r="C42" i="31"/>
  <c r="C43" i="31" s="1"/>
  <c r="C39" i="31"/>
  <c r="C36" i="31"/>
  <c r="C37" i="31" s="1"/>
  <c r="C33" i="31"/>
  <c r="C34" i="31" s="1"/>
  <c r="C30" i="31"/>
  <c r="C31" i="31" s="1"/>
  <c r="C27" i="31"/>
  <c r="C24" i="31"/>
  <c r="C25" i="31" s="1"/>
  <c r="C21" i="31"/>
  <c r="C18" i="31"/>
  <c r="C19" i="31" s="1"/>
  <c r="C15" i="31"/>
  <c r="C12" i="31"/>
  <c r="C9" i="31"/>
  <c r="C6" i="31"/>
  <c r="C7" i="31" s="1"/>
  <c r="C3" i="31"/>
  <c r="B3" i="31"/>
  <c r="B4" i="31" s="1"/>
  <c r="A3" i="31"/>
  <c r="G57" i="36"/>
  <c r="G56" i="36"/>
  <c r="G55" i="36"/>
  <c r="G54" i="36"/>
  <c r="G53" i="36"/>
  <c r="D48" i="36"/>
  <c r="K40" i="36"/>
  <c r="J40" i="36"/>
  <c r="G40" i="36"/>
  <c r="F40" i="36"/>
  <c r="G39" i="36"/>
  <c r="E39" i="36"/>
  <c r="K38" i="36"/>
  <c r="J38" i="36"/>
  <c r="G38" i="36"/>
  <c r="F38" i="36"/>
  <c r="I57" i="36" s="1"/>
  <c r="E38" i="36"/>
  <c r="G37" i="36"/>
  <c r="E37" i="36"/>
  <c r="K36" i="36"/>
  <c r="J36" i="36"/>
  <c r="G36" i="36"/>
  <c r="F36" i="36"/>
  <c r="E36" i="36"/>
  <c r="G35" i="36"/>
  <c r="E35" i="36"/>
  <c r="K34" i="36"/>
  <c r="J34" i="36"/>
  <c r="G34" i="36"/>
  <c r="F34" i="36"/>
  <c r="I55" i="36" s="1"/>
  <c r="E34" i="36"/>
  <c r="G33" i="36"/>
  <c r="E33" i="36"/>
  <c r="K32" i="36"/>
  <c r="J32" i="36"/>
  <c r="G32" i="36"/>
  <c r="F32" i="36"/>
  <c r="I53" i="36" s="1"/>
  <c r="E32" i="36"/>
  <c r="K30" i="36"/>
  <c r="J30" i="36"/>
  <c r="G30" i="36"/>
  <c r="F30" i="36"/>
  <c r="I54" i="36" s="1"/>
  <c r="E30" i="36"/>
  <c r="K29" i="36"/>
  <c r="J29" i="36"/>
  <c r="G29" i="36"/>
  <c r="F29" i="36"/>
  <c r="D29" i="36"/>
  <c r="K28" i="36"/>
  <c r="J28" i="36"/>
  <c r="G28" i="36"/>
  <c r="F28" i="36"/>
  <c r="D28" i="36"/>
  <c r="Q27" i="36"/>
  <c r="P27" i="36"/>
  <c r="K26" i="36"/>
  <c r="J26" i="36"/>
  <c r="G26" i="36"/>
  <c r="F26" i="36"/>
  <c r="K25" i="36"/>
  <c r="J25" i="36"/>
  <c r="G25" i="36"/>
  <c r="F25" i="36"/>
  <c r="K24" i="36"/>
  <c r="J24" i="36"/>
  <c r="G24" i="36"/>
  <c r="F24" i="36"/>
  <c r="K23" i="36"/>
  <c r="J23" i="36"/>
  <c r="G23" i="36"/>
  <c r="F23" i="36"/>
  <c r="K22" i="36"/>
  <c r="J22" i="36"/>
  <c r="G22" i="36"/>
  <c r="F22" i="36"/>
  <c r="D22" i="36"/>
  <c r="K21" i="36"/>
  <c r="J21" i="36"/>
  <c r="G21" i="36"/>
  <c r="F21" i="36"/>
  <c r="K20" i="36"/>
  <c r="J20" i="36"/>
  <c r="G20" i="36"/>
  <c r="F20" i="36"/>
  <c r="B20" i="36"/>
  <c r="G19" i="36"/>
  <c r="N19" i="36" s="1"/>
  <c r="O19" i="36" s="1"/>
  <c r="G18" i="36"/>
  <c r="N18" i="36" s="1"/>
  <c r="O18" i="36" s="1"/>
  <c r="B18" i="36"/>
  <c r="G52" i="36" s="1"/>
  <c r="G17" i="36"/>
  <c r="N17" i="36" s="1"/>
  <c r="O17" i="36" s="1"/>
  <c r="B17" i="36"/>
  <c r="G51" i="36" s="1"/>
  <c r="T16" i="36"/>
  <c r="R13" i="36"/>
  <c r="D11" i="36"/>
  <c r="K7" i="36"/>
  <c r="R40" i="36" s="1"/>
  <c r="J7" i="36"/>
  <c r="O5" i="36"/>
  <c r="S29" i="36" s="1"/>
  <c r="T29" i="36" s="1"/>
  <c r="G57" i="35"/>
  <c r="G56" i="35"/>
  <c r="G55" i="35"/>
  <c r="G54" i="35"/>
  <c r="G53" i="35"/>
  <c r="D48" i="35"/>
  <c r="K40" i="35"/>
  <c r="J40" i="35"/>
  <c r="G40" i="35"/>
  <c r="F40" i="35"/>
  <c r="G39" i="35"/>
  <c r="E39" i="35"/>
  <c r="K38" i="35"/>
  <c r="J38" i="35"/>
  <c r="G38" i="35"/>
  <c r="F38" i="35"/>
  <c r="I57" i="35" s="1"/>
  <c r="E38" i="35"/>
  <c r="G37" i="35"/>
  <c r="E37" i="35"/>
  <c r="K36" i="35"/>
  <c r="J36" i="35"/>
  <c r="G36" i="35"/>
  <c r="F36" i="35"/>
  <c r="E36" i="35"/>
  <c r="G35" i="35"/>
  <c r="E35" i="35"/>
  <c r="K34" i="35"/>
  <c r="J34" i="35"/>
  <c r="G34" i="35"/>
  <c r="F34" i="35"/>
  <c r="I55" i="35" s="1"/>
  <c r="E34" i="35"/>
  <c r="D55" i="35" s="1"/>
  <c r="G33" i="35"/>
  <c r="E33" i="35"/>
  <c r="K32" i="35"/>
  <c r="J32" i="35"/>
  <c r="G32" i="35"/>
  <c r="F32" i="35"/>
  <c r="I53" i="35" s="1"/>
  <c r="E32" i="35"/>
  <c r="K30" i="35"/>
  <c r="J30" i="35"/>
  <c r="G30" i="35"/>
  <c r="F30" i="35"/>
  <c r="I54" i="35" s="1"/>
  <c r="E30" i="35"/>
  <c r="D54" i="35" s="1"/>
  <c r="K29" i="35"/>
  <c r="J29" i="35"/>
  <c r="G29" i="35"/>
  <c r="F29" i="35"/>
  <c r="D29" i="35"/>
  <c r="K28" i="35"/>
  <c r="J28" i="35"/>
  <c r="G28" i="35"/>
  <c r="F28" i="35"/>
  <c r="D28" i="35"/>
  <c r="Q27" i="35"/>
  <c r="P27" i="35"/>
  <c r="K26" i="35"/>
  <c r="J26" i="35"/>
  <c r="G26" i="35"/>
  <c r="F26" i="35"/>
  <c r="K25" i="35"/>
  <c r="J25" i="35"/>
  <c r="G25" i="35"/>
  <c r="F25" i="35"/>
  <c r="K24" i="35"/>
  <c r="J24" i="35"/>
  <c r="G24" i="35"/>
  <c r="F24" i="35"/>
  <c r="K23" i="35"/>
  <c r="J23" i="35"/>
  <c r="G23" i="35"/>
  <c r="F23" i="35"/>
  <c r="K22" i="35"/>
  <c r="J22" i="35"/>
  <c r="G22" i="35"/>
  <c r="F22" i="35"/>
  <c r="D22" i="35"/>
  <c r="K21" i="35"/>
  <c r="J21" i="35"/>
  <c r="G21" i="35"/>
  <c r="F21" i="35"/>
  <c r="K20" i="35"/>
  <c r="J20" i="35"/>
  <c r="G20" i="35"/>
  <c r="F20" i="35"/>
  <c r="B20" i="35"/>
  <c r="G19" i="35"/>
  <c r="N19" i="35" s="1"/>
  <c r="O19" i="35" s="1"/>
  <c r="G18" i="35"/>
  <c r="N18" i="35" s="1"/>
  <c r="O18" i="35" s="1"/>
  <c r="B18" i="35"/>
  <c r="G52" i="35" s="1"/>
  <c r="G17" i="35"/>
  <c r="N17" i="35" s="1"/>
  <c r="B17" i="35"/>
  <c r="G51" i="35" s="1"/>
  <c r="T16" i="35"/>
  <c r="R13" i="35"/>
  <c r="D11" i="35"/>
  <c r="K7" i="35"/>
  <c r="R40" i="35" s="1"/>
  <c r="N40" i="35" s="1"/>
  <c r="O40" i="35" s="1"/>
  <c r="J7" i="35"/>
  <c r="O5" i="35"/>
  <c r="S29" i="35" s="1"/>
  <c r="T29" i="35" s="1"/>
  <c r="G57" i="34"/>
  <c r="G56" i="34"/>
  <c r="G55" i="34"/>
  <c r="G54" i="34"/>
  <c r="G53" i="34"/>
  <c r="D48" i="34"/>
  <c r="K40" i="34"/>
  <c r="J40" i="34"/>
  <c r="G40" i="34"/>
  <c r="F40" i="34"/>
  <c r="G39" i="34"/>
  <c r="E39" i="34"/>
  <c r="K38" i="34"/>
  <c r="J38" i="34"/>
  <c r="G38" i="34"/>
  <c r="F38" i="34"/>
  <c r="I57" i="34" s="1"/>
  <c r="E38" i="34"/>
  <c r="G37" i="34"/>
  <c r="E37" i="34"/>
  <c r="K36" i="34"/>
  <c r="J36" i="34"/>
  <c r="G36" i="34"/>
  <c r="F36" i="34"/>
  <c r="I56" i="34" s="1"/>
  <c r="E36" i="34"/>
  <c r="G35" i="34"/>
  <c r="E35" i="34"/>
  <c r="K34" i="34"/>
  <c r="J34" i="34"/>
  <c r="G34" i="34"/>
  <c r="F34" i="34"/>
  <c r="I55" i="34" s="1"/>
  <c r="E34" i="34"/>
  <c r="G33" i="34"/>
  <c r="E33" i="34"/>
  <c r="K32" i="34"/>
  <c r="J32" i="34"/>
  <c r="G32" i="34"/>
  <c r="F32" i="34"/>
  <c r="I53" i="34" s="1"/>
  <c r="E32" i="34"/>
  <c r="K30" i="34"/>
  <c r="J30" i="34"/>
  <c r="G30" i="34"/>
  <c r="F30" i="34"/>
  <c r="I54" i="34" s="1"/>
  <c r="E30" i="34"/>
  <c r="K29" i="34"/>
  <c r="J29" i="34"/>
  <c r="G29" i="34"/>
  <c r="F29" i="34"/>
  <c r="D29" i="34"/>
  <c r="K28" i="34"/>
  <c r="J28" i="34"/>
  <c r="G28" i="34"/>
  <c r="F28" i="34"/>
  <c r="D28" i="34"/>
  <c r="Q27" i="34"/>
  <c r="P27" i="34"/>
  <c r="K26" i="34"/>
  <c r="J26" i="34"/>
  <c r="G26" i="34"/>
  <c r="F26" i="34"/>
  <c r="K25" i="34"/>
  <c r="J25" i="34"/>
  <c r="G25" i="34"/>
  <c r="F25" i="34"/>
  <c r="K24" i="34"/>
  <c r="J24" i="34"/>
  <c r="G24" i="34"/>
  <c r="F24" i="34"/>
  <c r="K23" i="34"/>
  <c r="J23" i="34"/>
  <c r="G23" i="34"/>
  <c r="F23" i="34"/>
  <c r="K22" i="34"/>
  <c r="J22" i="34"/>
  <c r="G22" i="34"/>
  <c r="F22" i="34"/>
  <c r="D22" i="34"/>
  <c r="K21" i="34"/>
  <c r="J21" i="34"/>
  <c r="G21" i="34"/>
  <c r="F21" i="34"/>
  <c r="K20" i="34"/>
  <c r="J20" i="34"/>
  <c r="G20" i="34"/>
  <c r="F20" i="34"/>
  <c r="B20" i="34"/>
  <c r="G19" i="34"/>
  <c r="N19" i="34" s="1"/>
  <c r="O19" i="34" s="1"/>
  <c r="G18" i="34"/>
  <c r="N18" i="34" s="1"/>
  <c r="O18" i="34" s="1"/>
  <c r="B18" i="34"/>
  <c r="G52" i="34" s="1"/>
  <c r="G17" i="34"/>
  <c r="N17" i="34" s="1"/>
  <c r="O17" i="34" s="1"/>
  <c r="B17" i="34"/>
  <c r="G51" i="34" s="1"/>
  <c r="T16" i="34"/>
  <c r="R13" i="34"/>
  <c r="D11" i="34"/>
  <c r="K7" i="34"/>
  <c r="J7" i="34"/>
  <c r="O5" i="34"/>
  <c r="S29" i="34" s="1"/>
  <c r="G57" i="33"/>
  <c r="G56" i="33"/>
  <c r="G55" i="33"/>
  <c r="G54" i="33"/>
  <c r="G53" i="33"/>
  <c r="D48" i="33"/>
  <c r="K40" i="33"/>
  <c r="J40" i="33"/>
  <c r="G40" i="33"/>
  <c r="F40" i="33"/>
  <c r="G39" i="33"/>
  <c r="E39" i="33"/>
  <c r="K38" i="33"/>
  <c r="J38" i="33"/>
  <c r="G38" i="33"/>
  <c r="F38" i="33"/>
  <c r="I57" i="33" s="1"/>
  <c r="E38" i="33"/>
  <c r="G37" i="33"/>
  <c r="E37" i="33"/>
  <c r="K36" i="33"/>
  <c r="J36" i="33"/>
  <c r="G36" i="33"/>
  <c r="F36" i="33"/>
  <c r="I56" i="33" s="1"/>
  <c r="E36" i="33"/>
  <c r="G35" i="33"/>
  <c r="E35" i="33"/>
  <c r="K34" i="33"/>
  <c r="J34" i="33"/>
  <c r="G34" i="33"/>
  <c r="F34" i="33"/>
  <c r="I55" i="33" s="1"/>
  <c r="E34" i="33"/>
  <c r="G33" i="33"/>
  <c r="E33" i="33"/>
  <c r="K32" i="33"/>
  <c r="J32" i="33"/>
  <c r="G32" i="33"/>
  <c r="F32" i="33"/>
  <c r="I53" i="33" s="1"/>
  <c r="E32" i="33"/>
  <c r="K30" i="33"/>
  <c r="J30" i="33"/>
  <c r="G30" i="33"/>
  <c r="F30" i="33"/>
  <c r="I54" i="33" s="1"/>
  <c r="E30" i="33"/>
  <c r="K29" i="33"/>
  <c r="J29" i="33"/>
  <c r="G29" i="33"/>
  <c r="F29" i="33"/>
  <c r="D29" i="33"/>
  <c r="K28" i="33"/>
  <c r="J28" i="33"/>
  <c r="G28" i="33"/>
  <c r="F28" i="33"/>
  <c r="D28" i="33"/>
  <c r="Q27" i="33"/>
  <c r="P27" i="33"/>
  <c r="K26" i="33"/>
  <c r="J26" i="33"/>
  <c r="G26" i="33"/>
  <c r="F26" i="33"/>
  <c r="K25" i="33"/>
  <c r="J25" i="33"/>
  <c r="G25" i="33"/>
  <c r="F25" i="33"/>
  <c r="K24" i="33"/>
  <c r="J24" i="33"/>
  <c r="G24" i="33"/>
  <c r="F24" i="33"/>
  <c r="K23" i="33"/>
  <c r="J23" i="33"/>
  <c r="G23" i="33"/>
  <c r="F23" i="33"/>
  <c r="K22" i="33"/>
  <c r="J22" i="33"/>
  <c r="G22" i="33"/>
  <c r="F22" i="33"/>
  <c r="D22" i="33"/>
  <c r="K21" i="33"/>
  <c r="J21" i="33"/>
  <c r="G21" i="33"/>
  <c r="F21" i="33"/>
  <c r="K20" i="33"/>
  <c r="J20" i="33"/>
  <c r="G20" i="33"/>
  <c r="F20" i="33"/>
  <c r="B20" i="33"/>
  <c r="G19" i="33"/>
  <c r="N19" i="33" s="1"/>
  <c r="O19" i="33" s="1"/>
  <c r="G18" i="33"/>
  <c r="N18" i="33" s="1"/>
  <c r="O18" i="33" s="1"/>
  <c r="B18" i="33"/>
  <c r="G52" i="33" s="1"/>
  <c r="G17" i="33"/>
  <c r="N17" i="33" s="1"/>
  <c r="B17" i="33"/>
  <c r="G51" i="33" s="1"/>
  <c r="T16" i="33"/>
  <c r="R13" i="33"/>
  <c r="D11" i="33"/>
  <c r="K7" i="33"/>
  <c r="J7" i="33"/>
  <c r="O5" i="33"/>
  <c r="S29" i="33" s="1"/>
  <c r="T29" i="33" s="1"/>
  <c r="G57" i="32"/>
  <c r="G56" i="32"/>
  <c r="G55" i="32"/>
  <c r="G54" i="32"/>
  <c r="G53" i="32"/>
  <c r="D48" i="32"/>
  <c r="K40" i="32"/>
  <c r="J40" i="32"/>
  <c r="G40" i="32"/>
  <c r="F40" i="32"/>
  <c r="G39" i="32"/>
  <c r="E39" i="32"/>
  <c r="K38" i="32"/>
  <c r="J38" i="32"/>
  <c r="G38" i="32"/>
  <c r="F38" i="32"/>
  <c r="I57" i="32" s="1"/>
  <c r="E38" i="32"/>
  <c r="G37" i="32"/>
  <c r="E37" i="32"/>
  <c r="K36" i="32"/>
  <c r="J36" i="32"/>
  <c r="G36" i="32"/>
  <c r="F36" i="32"/>
  <c r="I56" i="32" s="1"/>
  <c r="E36" i="32"/>
  <c r="G35" i="32"/>
  <c r="E35" i="32"/>
  <c r="K34" i="32"/>
  <c r="J34" i="32"/>
  <c r="G34" i="32"/>
  <c r="F34" i="32"/>
  <c r="I55" i="32" s="1"/>
  <c r="E34" i="32"/>
  <c r="D55" i="32" s="1"/>
  <c r="G33" i="32"/>
  <c r="E33" i="32"/>
  <c r="K32" i="32"/>
  <c r="J32" i="32"/>
  <c r="G32" i="32"/>
  <c r="F32" i="32"/>
  <c r="I53" i="32" s="1"/>
  <c r="E32" i="32"/>
  <c r="K30" i="32"/>
  <c r="J30" i="32"/>
  <c r="G30" i="32"/>
  <c r="F30" i="32"/>
  <c r="I54" i="32" s="1"/>
  <c r="E30" i="32"/>
  <c r="K29" i="32"/>
  <c r="J29" i="32"/>
  <c r="G29" i="32"/>
  <c r="F29" i="32"/>
  <c r="D29" i="32"/>
  <c r="K28" i="32"/>
  <c r="J28" i="32"/>
  <c r="G28" i="32"/>
  <c r="F28" i="32"/>
  <c r="D28" i="32"/>
  <c r="Q27" i="32"/>
  <c r="P27" i="32"/>
  <c r="K26" i="32"/>
  <c r="J26" i="32"/>
  <c r="G26" i="32"/>
  <c r="F26" i="32"/>
  <c r="K25" i="32"/>
  <c r="J25" i="32"/>
  <c r="G25" i="32"/>
  <c r="F25" i="32"/>
  <c r="K24" i="32"/>
  <c r="J24" i="32"/>
  <c r="G24" i="32"/>
  <c r="F24" i="32"/>
  <c r="K23" i="32"/>
  <c r="J23" i="32"/>
  <c r="G23" i="32"/>
  <c r="F23" i="32"/>
  <c r="K22" i="32"/>
  <c r="J22" i="32"/>
  <c r="G22" i="32"/>
  <c r="F22" i="32"/>
  <c r="D22" i="32"/>
  <c r="K21" i="32"/>
  <c r="J21" i="32"/>
  <c r="G21" i="32"/>
  <c r="F21" i="32"/>
  <c r="K20" i="32"/>
  <c r="J20" i="32"/>
  <c r="G20" i="32"/>
  <c r="F20" i="32"/>
  <c r="B20" i="32"/>
  <c r="G19" i="32"/>
  <c r="N19" i="32" s="1"/>
  <c r="O19" i="32" s="1"/>
  <c r="G18" i="32"/>
  <c r="N18" i="32" s="1"/>
  <c r="O18" i="32" s="1"/>
  <c r="B18" i="32"/>
  <c r="G52" i="32" s="1"/>
  <c r="G17" i="32"/>
  <c r="B17" i="32"/>
  <c r="G51" i="32" s="1"/>
  <c r="T16" i="32"/>
  <c r="R13" i="32"/>
  <c r="D11" i="32"/>
  <c r="K7" i="32"/>
  <c r="J7" i="32"/>
  <c r="R24" i="32" s="1"/>
  <c r="O5" i="32"/>
  <c r="S22" i="32" s="1"/>
  <c r="M58" i="31"/>
  <c r="M55" i="31"/>
  <c r="M52" i="31"/>
  <c r="M46" i="31"/>
  <c r="M43" i="31"/>
  <c r="M40" i="31"/>
  <c r="M34" i="31"/>
  <c r="M28" i="31"/>
  <c r="M22" i="31"/>
  <c r="M19" i="31"/>
  <c r="M16" i="31"/>
  <c r="L58" i="31"/>
  <c r="L55" i="31"/>
  <c r="L52" i="31"/>
  <c r="L46" i="31"/>
  <c r="L43" i="31"/>
  <c r="L40" i="31"/>
  <c r="L34" i="31"/>
  <c r="L31" i="31"/>
  <c r="L28" i="31"/>
  <c r="L22" i="31"/>
  <c r="L19" i="31"/>
  <c r="L16" i="31"/>
  <c r="K55" i="31"/>
  <c r="K46" i="31"/>
  <c r="K43" i="31"/>
  <c r="K34" i="31"/>
  <c r="K31" i="31"/>
  <c r="K22" i="31"/>
  <c r="K19" i="31"/>
  <c r="J58" i="31"/>
  <c r="J55" i="31"/>
  <c r="J52" i="31"/>
  <c r="J46" i="31"/>
  <c r="J43" i="31"/>
  <c r="J40" i="31"/>
  <c r="J34" i="31"/>
  <c r="J31" i="31"/>
  <c r="J28" i="31"/>
  <c r="J22" i="31"/>
  <c r="J19" i="31"/>
  <c r="J16" i="31"/>
  <c r="I58" i="31"/>
  <c r="I55" i="31"/>
  <c r="I46" i="31"/>
  <c r="I43" i="31"/>
  <c r="I34" i="31"/>
  <c r="I31" i="31"/>
  <c r="I22" i="31"/>
  <c r="I19" i="31"/>
  <c r="H58" i="31"/>
  <c r="H55" i="31"/>
  <c r="H52" i="31"/>
  <c r="H46" i="31"/>
  <c r="H43" i="31"/>
  <c r="H40" i="31"/>
  <c r="H34" i="31"/>
  <c r="H31" i="31"/>
  <c r="H28" i="31"/>
  <c r="H22" i="31"/>
  <c r="H19" i="31"/>
  <c r="H16" i="31"/>
  <c r="G58" i="31"/>
  <c r="G55" i="31"/>
  <c r="G52" i="31"/>
  <c r="G49" i="31"/>
  <c r="G46" i="31"/>
  <c r="G43" i="31"/>
  <c r="G40" i="31"/>
  <c r="G34" i="31"/>
  <c r="G28" i="31"/>
  <c r="G31" i="31"/>
  <c r="G25" i="31"/>
  <c r="G22" i="31"/>
  <c r="G19" i="31"/>
  <c r="G16" i="31"/>
  <c r="G13" i="31"/>
  <c r="F58" i="31"/>
  <c r="F46" i="31"/>
  <c r="F34" i="31"/>
  <c r="F22" i="31"/>
  <c r="F19" i="31"/>
  <c r="E58" i="31"/>
  <c r="E55" i="31"/>
  <c r="E40" i="31"/>
  <c r="E34" i="31"/>
  <c r="E31" i="31"/>
  <c r="E28" i="31"/>
  <c r="E22" i="31"/>
  <c r="E19" i="31"/>
  <c r="E16" i="31"/>
  <c r="D43" i="31"/>
  <c r="D31" i="31"/>
  <c r="D19" i="31"/>
  <c r="C58" i="31"/>
  <c r="C52" i="31"/>
  <c r="C49" i="31"/>
  <c r="C46" i="31"/>
  <c r="C40" i="31"/>
  <c r="C28" i="31"/>
  <c r="C22" i="31"/>
  <c r="C16" i="31"/>
  <c r="C13" i="31"/>
  <c r="B55" i="31"/>
  <c r="B52" i="31"/>
  <c r="B40" i="31"/>
  <c r="B31" i="31"/>
  <c r="B28" i="31"/>
  <c r="B19" i="31"/>
  <c r="B16" i="31"/>
  <c r="M10" i="31"/>
  <c r="L10" i="31"/>
  <c r="K10" i="31"/>
  <c r="J10" i="31"/>
  <c r="I10" i="31"/>
  <c r="H10" i="31"/>
  <c r="G10" i="31"/>
  <c r="F10" i="31"/>
  <c r="E10" i="31"/>
  <c r="D10" i="31"/>
  <c r="C10" i="31"/>
  <c r="K58" i="31"/>
  <c r="M31" i="31"/>
  <c r="A57" i="31"/>
  <c r="A58" i="31" s="1"/>
  <c r="A54" i="31"/>
  <c r="A51" i="31"/>
  <c r="A48" i="31"/>
  <c r="A45" i="31"/>
  <c r="A42" i="31"/>
  <c r="A39" i="31"/>
  <c r="A40" i="31" s="1"/>
  <c r="A36" i="31"/>
  <c r="A33" i="31"/>
  <c r="A30" i="31"/>
  <c r="A27" i="31"/>
  <c r="A28" i="31" s="1"/>
  <c r="A24" i="31"/>
  <c r="A21" i="31"/>
  <c r="A22" i="31" s="1"/>
  <c r="A18" i="31"/>
  <c r="A15" i="31"/>
  <c r="A16" i="31" s="1"/>
  <c r="A12" i="31"/>
  <c r="A9" i="31"/>
  <c r="A10" i="31" s="1"/>
  <c r="M7" i="31"/>
  <c r="L7" i="31"/>
  <c r="K7" i="31"/>
  <c r="J7" i="31"/>
  <c r="I7" i="31"/>
  <c r="H7" i="31"/>
  <c r="G7" i="31"/>
  <c r="F7" i="31"/>
  <c r="E7" i="31"/>
  <c r="D7" i="31"/>
  <c r="B7" i="31"/>
  <c r="A6" i="31"/>
  <c r="M4" i="31"/>
  <c r="L4" i="31"/>
  <c r="J4" i="31"/>
  <c r="I4" i="31"/>
  <c r="H4" i="31"/>
  <c r="G4" i="31"/>
  <c r="E4" i="31"/>
  <c r="D4" i="31"/>
  <c r="C4" i="31"/>
  <c r="AB54" i="31" l="1"/>
  <c r="S29" i="32"/>
  <c r="T29" i="32" s="1"/>
  <c r="I50" i="32" s="1"/>
  <c r="D54" i="33"/>
  <c r="D55" i="33"/>
  <c r="D54" i="34"/>
  <c r="I50" i="36"/>
  <c r="K50" i="36" s="1"/>
  <c r="D50" i="36"/>
  <c r="D49" i="33"/>
  <c r="I51" i="34"/>
  <c r="I50" i="35"/>
  <c r="D54" i="36"/>
  <c r="K54" i="36" s="1"/>
  <c r="D50" i="34"/>
  <c r="D52" i="34"/>
  <c r="D53" i="36"/>
  <c r="K53" i="36" s="1"/>
  <c r="D56" i="32"/>
  <c r="D49" i="34"/>
  <c r="D53" i="32"/>
  <c r="K53" i="32" s="1"/>
  <c r="D53" i="33"/>
  <c r="D55" i="34"/>
  <c r="D52" i="33"/>
  <c r="D53" i="34"/>
  <c r="K53" i="34" s="1"/>
  <c r="D49" i="35"/>
  <c r="D57" i="35"/>
  <c r="D49" i="36"/>
  <c r="D57" i="36"/>
  <c r="K57" i="36" s="1"/>
  <c r="N52" i="36"/>
  <c r="G42" i="36"/>
  <c r="R40" i="34"/>
  <c r="N40" i="34" s="1"/>
  <c r="O40" i="34" s="1"/>
  <c r="AB42" i="31"/>
  <c r="AD24" i="31"/>
  <c r="AD16" i="31"/>
  <c r="AB6" i="31"/>
  <c r="R40" i="33"/>
  <c r="N40" i="33" s="1"/>
  <c r="O40" i="33" s="1"/>
  <c r="AB57" i="31"/>
  <c r="AD51" i="31"/>
  <c r="AD48" i="31"/>
  <c r="AB45" i="31"/>
  <c r="AD40" i="31"/>
  <c r="AD39" i="31"/>
  <c r="AB33" i="31"/>
  <c r="AD27" i="31"/>
  <c r="AB21" i="31"/>
  <c r="AD22" i="31"/>
  <c r="AD15" i="31"/>
  <c r="AD12" i="31"/>
  <c r="AB9" i="31"/>
  <c r="AD10" i="31"/>
  <c r="AD3" i="31"/>
  <c r="AB12" i="31"/>
  <c r="AB24" i="31"/>
  <c r="AB36" i="31"/>
  <c r="AB48" i="31"/>
  <c r="AC3" i="31"/>
  <c r="AC6" i="31"/>
  <c r="AC9" i="31"/>
  <c r="AC12" i="31"/>
  <c r="AC15" i="31"/>
  <c r="AC18" i="31"/>
  <c r="AC21" i="31"/>
  <c r="AC24" i="31"/>
  <c r="AC27" i="31"/>
  <c r="AC30" i="31"/>
  <c r="AC33" i="31"/>
  <c r="AC36" i="31"/>
  <c r="AC39" i="31"/>
  <c r="AC42" i="31"/>
  <c r="AC45" i="31"/>
  <c r="AC48" i="31"/>
  <c r="AC51" i="31"/>
  <c r="AC54" i="31"/>
  <c r="AC57" i="31"/>
  <c r="AB3" i="31"/>
  <c r="AB15" i="31"/>
  <c r="AB27" i="31"/>
  <c r="AB39" i="31"/>
  <c r="AB51" i="31"/>
  <c r="AD6" i="31"/>
  <c r="AD9" i="31"/>
  <c r="AD18" i="31"/>
  <c r="AD21" i="31"/>
  <c r="AD30" i="31"/>
  <c r="AD33" i="31"/>
  <c r="AD36" i="31"/>
  <c r="AD42" i="31"/>
  <c r="AD45" i="31"/>
  <c r="AD54" i="31"/>
  <c r="AD57" i="31"/>
  <c r="AC4" i="31"/>
  <c r="AC10" i="31"/>
  <c r="AC22" i="31"/>
  <c r="AC34" i="31"/>
  <c r="AC40" i="31"/>
  <c r="AC46" i="31"/>
  <c r="AC49" i="31"/>
  <c r="N40" i="36"/>
  <c r="O40" i="36" s="1"/>
  <c r="I51" i="36"/>
  <c r="D55" i="36"/>
  <c r="K55" i="36" s="1"/>
  <c r="D56" i="36"/>
  <c r="D52" i="36"/>
  <c r="S22" i="36"/>
  <c r="T22" i="36" s="1"/>
  <c r="D50" i="35"/>
  <c r="I51" i="35"/>
  <c r="D56" i="35"/>
  <c r="D52" i="35"/>
  <c r="G42" i="35"/>
  <c r="K54" i="35"/>
  <c r="D53" i="35"/>
  <c r="K53" i="35" s="1"/>
  <c r="N52" i="35"/>
  <c r="S22" i="35"/>
  <c r="T22" i="35" s="1"/>
  <c r="G42" i="34"/>
  <c r="K54" i="34"/>
  <c r="N52" i="34"/>
  <c r="T29" i="34"/>
  <c r="I50" i="34" s="1"/>
  <c r="D57" i="34"/>
  <c r="K57" i="34" s="1"/>
  <c r="S22" i="34"/>
  <c r="T22" i="34" s="1"/>
  <c r="I50" i="33"/>
  <c r="G42" i="33"/>
  <c r="K54" i="33"/>
  <c r="N52" i="33"/>
  <c r="K53" i="33"/>
  <c r="D57" i="33"/>
  <c r="D50" i="33"/>
  <c r="I51" i="33"/>
  <c r="S22" i="33"/>
  <c r="T22" i="33" s="1"/>
  <c r="G42" i="32"/>
  <c r="D54" i="32"/>
  <c r="K54" i="32" s="1"/>
  <c r="T22" i="32"/>
  <c r="D49" i="32"/>
  <c r="N24" i="32"/>
  <c r="O24" i="32" s="1"/>
  <c r="D50" i="32"/>
  <c r="D57" i="32"/>
  <c r="K57" i="32" s="1"/>
  <c r="S28" i="32"/>
  <c r="T28" i="32" s="1"/>
  <c r="I49" i="32" s="1"/>
  <c r="R40" i="32"/>
  <c r="N40" i="32" s="1"/>
  <c r="O40" i="32" s="1"/>
  <c r="R21" i="36"/>
  <c r="N21" i="36" s="1"/>
  <c r="O21" i="36" s="1"/>
  <c r="R26" i="36"/>
  <c r="N26" i="36" s="1"/>
  <c r="O26" i="36" s="1"/>
  <c r="R23" i="36"/>
  <c r="N23" i="36" s="1"/>
  <c r="O23" i="36" s="1"/>
  <c r="R28" i="36"/>
  <c r="R29" i="36"/>
  <c r="R30" i="36"/>
  <c r="D51" i="36"/>
  <c r="N51" i="36"/>
  <c r="I52" i="36"/>
  <c r="I56" i="36"/>
  <c r="R20" i="36"/>
  <c r="N20" i="36" s="1"/>
  <c r="O20" i="36" s="1"/>
  <c r="R25" i="36"/>
  <c r="N25" i="36" s="1"/>
  <c r="O25" i="36" s="1"/>
  <c r="R27" i="36"/>
  <c r="R32" i="36"/>
  <c r="R34" i="36"/>
  <c r="R36" i="36"/>
  <c r="R38" i="36"/>
  <c r="R22" i="36"/>
  <c r="N22" i="36" s="1"/>
  <c r="O22" i="36" s="1"/>
  <c r="R24" i="36"/>
  <c r="N24" i="36" s="1"/>
  <c r="O24" i="36" s="1"/>
  <c r="S28" i="36"/>
  <c r="T28" i="36" s="1"/>
  <c r="I49" i="36" s="1"/>
  <c r="K55" i="35"/>
  <c r="K57" i="35"/>
  <c r="R20" i="35"/>
  <c r="N20" i="35" s="1"/>
  <c r="O20" i="35" s="1"/>
  <c r="R25" i="35"/>
  <c r="N25" i="35" s="1"/>
  <c r="O25" i="35" s="1"/>
  <c r="R36" i="35"/>
  <c r="R38" i="35"/>
  <c r="O17" i="35"/>
  <c r="R21" i="35"/>
  <c r="N21" i="35" s="1"/>
  <c r="O21" i="35" s="1"/>
  <c r="R26" i="35"/>
  <c r="N26" i="35" s="1"/>
  <c r="O26" i="35" s="1"/>
  <c r="R27" i="35"/>
  <c r="R23" i="35"/>
  <c r="N23" i="35" s="1"/>
  <c r="O23" i="35" s="1"/>
  <c r="R28" i="35"/>
  <c r="R29" i="35"/>
  <c r="R30" i="35"/>
  <c r="D51" i="35"/>
  <c r="N51" i="35"/>
  <c r="I52" i="35"/>
  <c r="K52" i="35" s="1"/>
  <c r="I56" i="35"/>
  <c r="R32" i="35"/>
  <c r="R34" i="35"/>
  <c r="R22" i="35"/>
  <c r="N22" i="35" s="1"/>
  <c r="O22" i="35" s="1"/>
  <c r="R24" i="35"/>
  <c r="N24" i="35" s="1"/>
  <c r="O24" i="35" s="1"/>
  <c r="S28" i="35"/>
  <c r="T28" i="35" s="1"/>
  <c r="I49" i="35" s="1"/>
  <c r="K49" i="35" s="1"/>
  <c r="K55" i="34"/>
  <c r="R20" i="34"/>
  <c r="N20" i="34" s="1"/>
  <c r="O20" i="34" s="1"/>
  <c r="R27" i="34"/>
  <c r="R34" i="34"/>
  <c r="R36" i="34"/>
  <c r="D56" i="34"/>
  <c r="K56" i="34" s="1"/>
  <c r="R21" i="34"/>
  <c r="N21" i="34" s="1"/>
  <c r="O21" i="34" s="1"/>
  <c r="R23" i="34"/>
  <c r="N23" i="34" s="1"/>
  <c r="O23" i="34" s="1"/>
  <c r="R28" i="34"/>
  <c r="R29" i="34"/>
  <c r="R30" i="34"/>
  <c r="D51" i="34"/>
  <c r="K51" i="34" s="1"/>
  <c r="N51" i="34"/>
  <c r="I52" i="34"/>
  <c r="K52" i="34" s="1"/>
  <c r="R25" i="34"/>
  <c r="N25" i="34" s="1"/>
  <c r="O25" i="34" s="1"/>
  <c r="R32" i="34"/>
  <c r="R38" i="34"/>
  <c r="R26" i="34"/>
  <c r="N26" i="34" s="1"/>
  <c r="O26" i="34" s="1"/>
  <c r="R22" i="34"/>
  <c r="N22" i="34" s="1"/>
  <c r="O22" i="34" s="1"/>
  <c r="R24" i="34"/>
  <c r="N24" i="34" s="1"/>
  <c r="O24" i="34" s="1"/>
  <c r="S28" i="34"/>
  <c r="T28" i="34" s="1"/>
  <c r="I49" i="34" s="1"/>
  <c r="K55" i="33"/>
  <c r="K57" i="33"/>
  <c r="R32" i="33"/>
  <c r="R34" i="33"/>
  <c r="O17" i="33"/>
  <c r="R21" i="33"/>
  <c r="N21" i="33" s="1"/>
  <c r="O21" i="33" s="1"/>
  <c r="R26" i="33"/>
  <c r="N26" i="33" s="1"/>
  <c r="O26" i="33" s="1"/>
  <c r="R25" i="33"/>
  <c r="N25" i="33" s="1"/>
  <c r="O25" i="33" s="1"/>
  <c r="R38" i="33"/>
  <c r="D56" i="33"/>
  <c r="K56" i="33" s="1"/>
  <c r="R23" i="33"/>
  <c r="N23" i="33" s="1"/>
  <c r="O23" i="33" s="1"/>
  <c r="R28" i="33"/>
  <c r="R29" i="33"/>
  <c r="R30" i="33"/>
  <c r="D51" i="33"/>
  <c r="N51" i="33"/>
  <c r="I52" i="33"/>
  <c r="K52" i="33" s="1"/>
  <c r="R20" i="33"/>
  <c r="N20" i="33" s="1"/>
  <c r="O20" i="33" s="1"/>
  <c r="R27" i="33"/>
  <c r="R36" i="33"/>
  <c r="R22" i="33"/>
  <c r="N22" i="33" s="1"/>
  <c r="O22" i="33" s="1"/>
  <c r="R24" i="33"/>
  <c r="N24" i="33" s="1"/>
  <c r="O24" i="33" s="1"/>
  <c r="S28" i="33"/>
  <c r="T28" i="33" s="1"/>
  <c r="I49" i="33" s="1"/>
  <c r="K49" i="33" s="1"/>
  <c r="K55" i="32"/>
  <c r="K56" i="32"/>
  <c r="R22" i="32"/>
  <c r="N22" i="32" s="1"/>
  <c r="O22" i="32" s="1"/>
  <c r="N17" i="32"/>
  <c r="R20" i="32"/>
  <c r="N20" i="32" s="1"/>
  <c r="O20" i="32" s="1"/>
  <c r="R25" i="32"/>
  <c r="N25" i="32" s="1"/>
  <c r="O25" i="32" s="1"/>
  <c r="R27" i="32"/>
  <c r="R32" i="32"/>
  <c r="R34" i="32"/>
  <c r="R36" i="32"/>
  <c r="R38" i="32"/>
  <c r="I51" i="32"/>
  <c r="D52" i="32"/>
  <c r="N52" i="32"/>
  <c r="R21" i="32"/>
  <c r="N21" i="32" s="1"/>
  <c r="O21" i="32" s="1"/>
  <c r="R26" i="32"/>
  <c r="N26" i="32" s="1"/>
  <c r="O26" i="32" s="1"/>
  <c r="R23" i="32"/>
  <c r="N23" i="32" s="1"/>
  <c r="O23" i="32" s="1"/>
  <c r="R28" i="32"/>
  <c r="R29" i="32"/>
  <c r="R30" i="32"/>
  <c r="D51" i="32"/>
  <c r="N51" i="32"/>
  <c r="I52" i="32"/>
  <c r="A49" i="31"/>
  <c r="AD49" i="31" s="1"/>
  <c r="A25" i="31"/>
  <c r="AD25" i="31" s="1"/>
  <c r="D58" i="31"/>
  <c r="AD58" i="31" s="1"/>
  <c r="D28" i="31"/>
  <c r="AC28" i="31" s="1"/>
  <c r="D16" i="31"/>
  <c r="AC16" i="31" s="1"/>
  <c r="A55" i="31"/>
  <c r="AD55" i="31" s="1"/>
  <c r="A52" i="31"/>
  <c r="AD52" i="31" s="1"/>
  <c r="A46" i="31"/>
  <c r="AD46" i="31" s="1"/>
  <c r="A43" i="31"/>
  <c r="AD43" i="31" s="1"/>
  <c r="A37" i="31"/>
  <c r="AD37" i="31" s="1"/>
  <c r="A34" i="31"/>
  <c r="AD34" i="31" s="1"/>
  <c r="A31" i="31"/>
  <c r="AD31" i="31" s="1"/>
  <c r="A19" i="31"/>
  <c r="AD19" i="31" s="1"/>
  <c r="A13" i="31"/>
  <c r="AC13" i="31" s="1"/>
  <c r="A7" i="31"/>
  <c r="AD7" i="31" s="1"/>
  <c r="A4" i="31"/>
  <c r="AD4" i="31" s="1"/>
  <c r="AC43" i="31" l="1"/>
  <c r="K50" i="34"/>
  <c r="K50" i="35"/>
  <c r="K56" i="36"/>
  <c r="K51" i="35"/>
  <c r="K51" i="36"/>
  <c r="K49" i="32"/>
  <c r="O52" i="36"/>
  <c r="K50" i="33"/>
  <c r="O52" i="34"/>
  <c r="K49" i="34"/>
  <c r="O52" i="33"/>
  <c r="O52" i="35"/>
  <c r="K49" i="36"/>
  <c r="AC58" i="31"/>
  <c r="AF58" i="31" s="1"/>
  <c r="AD28" i="31"/>
  <c r="AF28" i="31" s="1"/>
  <c r="AC55" i="31"/>
  <c r="AC52" i="31"/>
  <c r="AC37" i="31"/>
  <c r="AC31" i="31"/>
  <c r="AC25" i="31"/>
  <c r="AF25" i="31" s="1"/>
  <c r="AC19" i="31"/>
  <c r="AD13" i="31"/>
  <c r="AC7" i="31"/>
  <c r="AF7" i="31" s="1"/>
  <c r="K52" i="36"/>
  <c r="O51" i="36"/>
  <c r="K56" i="35"/>
  <c r="O51" i="35"/>
  <c r="K51" i="33"/>
  <c r="O51" i="32"/>
  <c r="O52" i="32"/>
  <c r="K50" i="32"/>
  <c r="N49" i="36"/>
  <c r="O49" i="36" s="1"/>
  <c r="N28" i="36"/>
  <c r="O28" i="36" s="1"/>
  <c r="N34" i="36"/>
  <c r="O34" i="36" s="1"/>
  <c r="N55" i="36"/>
  <c r="O55" i="36" s="1"/>
  <c r="N38" i="36"/>
  <c r="O38" i="36" s="1"/>
  <c r="N57" i="36"/>
  <c r="O57" i="36" s="1"/>
  <c r="N50" i="36"/>
  <c r="O50" i="36" s="1"/>
  <c r="N29" i="36"/>
  <c r="O29" i="36" s="1"/>
  <c r="N56" i="36"/>
  <c r="O56" i="36" s="1"/>
  <c r="N36" i="36"/>
  <c r="O36" i="36" s="1"/>
  <c r="N32" i="36"/>
  <c r="O32" i="36" s="1"/>
  <c r="N53" i="36"/>
  <c r="O53" i="36" s="1"/>
  <c r="N54" i="36"/>
  <c r="O54" i="36" s="1"/>
  <c r="N30" i="36"/>
  <c r="O30" i="36" s="1"/>
  <c r="N54" i="35"/>
  <c r="O54" i="35" s="1"/>
  <c r="N30" i="35"/>
  <c r="O30" i="35" s="1"/>
  <c r="N57" i="35"/>
  <c r="O57" i="35" s="1"/>
  <c r="N38" i="35"/>
  <c r="O38" i="35" s="1"/>
  <c r="N56" i="35"/>
  <c r="O56" i="35" s="1"/>
  <c r="N36" i="35"/>
  <c r="O36" i="35" s="1"/>
  <c r="N34" i="35"/>
  <c r="O34" i="35" s="1"/>
  <c r="N55" i="35"/>
  <c r="O55" i="35" s="1"/>
  <c r="N49" i="35"/>
  <c r="O49" i="35" s="1"/>
  <c r="N28" i="35"/>
  <c r="O28" i="35" s="1"/>
  <c r="N50" i="35"/>
  <c r="O50" i="35" s="1"/>
  <c r="N29" i="35"/>
  <c r="O29" i="35" s="1"/>
  <c r="N32" i="35"/>
  <c r="O32" i="35" s="1"/>
  <c r="N53" i="35"/>
  <c r="O53" i="35" s="1"/>
  <c r="AF6" i="31"/>
  <c r="N30" i="34"/>
  <c r="O30" i="34" s="1"/>
  <c r="N54" i="34"/>
  <c r="O54" i="34" s="1"/>
  <c r="N34" i="34"/>
  <c r="O34" i="34" s="1"/>
  <c r="N55" i="34"/>
  <c r="O55" i="34" s="1"/>
  <c r="N32" i="34"/>
  <c r="O32" i="34" s="1"/>
  <c r="N53" i="34"/>
  <c r="O53" i="34" s="1"/>
  <c r="N29" i="34"/>
  <c r="O29" i="34" s="1"/>
  <c r="N50" i="34"/>
  <c r="O50" i="34" s="1"/>
  <c r="N38" i="34"/>
  <c r="O38" i="34" s="1"/>
  <c r="N57" i="34"/>
  <c r="O57" i="34" s="1"/>
  <c r="O51" i="34"/>
  <c r="N49" i="34"/>
  <c r="O49" i="34" s="1"/>
  <c r="N28" i="34"/>
  <c r="O28" i="34" s="1"/>
  <c r="N36" i="34"/>
  <c r="O36" i="34" s="1"/>
  <c r="N56" i="34"/>
  <c r="O56" i="34" s="1"/>
  <c r="N50" i="33"/>
  <c r="O50" i="33" s="1"/>
  <c r="N29" i="33"/>
  <c r="O29" i="33" s="1"/>
  <c r="N38" i="33"/>
  <c r="O38" i="33" s="1"/>
  <c r="N57" i="33"/>
  <c r="O57" i="33" s="1"/>
  <c r="N56" i="33"/>
  <c r="O56" i="33" s="1"/>
  <c r="N36" i="33"/>
  <c r="O36" i="33" s="1"/>
  <c r="O51" i="33"/>
  <c r="N49" i="33"/>
  <c r="O49" i="33" s="1"/>
  <c r="N28" i="33"/>
  <c r="O28" i="33" s="1"/>
  <c r="N34" i="33"/>
  <c r="O34" i="33" s="1"/>
  <c r="N55" i="33"/>
  <c r="O55" i="33" s="1"/>
  <c r="N32" i="33"/>
  <c r="O32" i="33" s="1"/>
  <c r="N53" i="33"/>
  <c r="O53" i="33" s="1"/>
  <c r="N30" i="33"/>
  <c r="O30" i="33" s="1"/>
  <c r="N54" i="33"/>
  <c r="O54" i="33" s="1"/>
  <c r="N56" i="32"/>
  <c r="O56" i="32" s="1"/>
  <c r="N36" i="32"/>
  <c r="O36" i="32" s="1"/>
  <c r="N30" i="32"/>
  <c r="O30" i="32" s="1"/>
  <c r="N54" i="32"/>
  <c r="O54" i="32" s="1"/>
  <c r="K51" i="32"/>
  <c r="N53" i="32"/>
  <c r="O53" i="32" s="1"/>
  <c r="N32" i="32"/>
  <c r="O32" i="32" s="1"/>
  <c r="O17" i="32"/>
  <c r="N49" i="32"/>
  <c r="O49" i="32" s="1"/>
  <c r="N28" i="32"/>
  <c r="O28" i="32" s="1"/>
  <c r="N55" i="32"/>
  <c r="O55" i="32" s="1"/>
  <c r="N34" i="32"/>
  <c r="O34" i="32" s="1"/>
  <c r="K52" i="32"/>
  <c r="N29" i="32"/>
  <c r="O29" i="32" s="1"/>
  <c r="N50" i="32"/>
  <c r="O50" i="32" s="1"/>
  <c r="N57" i="32"/>
  <c r="O57" i="32" s="1"/>
  <c r="N38" i="32"/>
  <c r="O38" i="32" s="1"/>
  <c r="AF15" i="31"/>
  <c r="AF24" i="31"/>
  <c r="AF3" i="31"/>
  <c r="AF9" i="31"/>
  <c r="AF54" i="31"/>
  <c r="AF49" i="31"/>
  <c r="AF39" i="31"/>
  <c r="AF12" i="31"/>
  <c r="AF48" i="31"/>
  <c r="AF36" i="31"/>
  <c r="AF27" i="31"/>
  <c r="AF16" i="31"/>
  <c r="AF51" i="31"/>
  <c r="AF22" i="31"/>
  <c r="AF57" i="31"/>
  <c r="AF45" i="31"/>
  <c r="AF40" i="31"/>
  <c r="AF10" i="31"/>
  <c r="AF33" i="31"/>
  <c r="AF21" i="31"/>
  <c r="AF18" i="31"/>
  <c r="AF42" i="31"/>
  <c r="AF30" i="31"/>
  <c r="N42" i="32" l="1"/>
  <c r="O42" i="32" s="1"/>
  <c r="Q20" i="36"/>
  <c r="P20" i="36"/>
  <c r="Q17" i="36"/>
  <c r="P17" i="36"/>
  <c r="Q24" i="36"/>
  <c r="P24" i="36"/>
  <c r="Q22" i="36"/>
  <c r="P22" i="36"/>
  <c r="Q23" i="36"/>
  <c r="P23" i="36"/>
  <c r="Q18" i="36"/>
  <c r="P18" i="36"/>
  <c r="Q29" i="36"/>
  <c r="P29" i="36"/>
  <c r="P40" i="36"/>
  <c r="Q40" i="36"/>
  <c r="P34" i="36"/>
  <c r="Q34" i="36"/>
  <c r="N42" i="36"/>
  <c r="O42" i="36" s="1"/>
  <c r="Q22" i="35"/>
  <c r="P22" i="35"/>
  <c r="Q23" i="35"/>
  <c r="P23" i="35"/>
  <c r="Q29" i="35"/>
  <c r="P29" i="35"/>
  <c r="P40" i="35"/>
  <c r="Q40" i="35"/>
  <c r="Q34" i="35"/>
  <c r="P34" i="35"/>
  <c r="Q24" i="35"/>
  <c r="P24" i="35"/>
  <c r="P20" i="35"/>
  <c r="Q20" i="35"/>
  <c r="Q18" i="35"/>
  <c r="P18" i="35"/>
  <c r="P17" i="35"/>
  <c r="Q17" i="35"/>
  <c r="N42" i="35"/>
  <c r="O42" i="35" s="1"/>
  <c r="Q20" i="34"/>
  <c r="P20" i="34"/>
  <c r="Q24" i="34"/>
  <c r="P24" i="34"/>
  <c r="Q23" i="34"/>
  <c r="P23" i="34"/>
  <c r="Q18" i="34"/>
  <c r="P18" i="34"/>
  <c r="Q17" i="34"/>
  <c r="P17" i="34"/>
  <c r="Q22" i="34"/>
  <c r="P22" i="34"/>
  <c r="Q29" i="34"/>
  <c r="P29" i="34"/>
  <c r="P40" i="34"/>
  <c r="Q40" i="34"/>
  <c r="Q34" i="34"/>
  <c r="P34" i="34"/>
  <c r="N42" i="34"/>
  <c r="O42" i="34" s="1"/>
  <c r="P20" i="33"/>
  <c r="Q20" i="33"/>
  <c r="Q17" i="33"/>
  <c r="P17" i="33"/>
  <c r="Q24" i="33"/>
  <c r="P24" i="33"/>
  <c r="Q22" i="33"/>
  <c r="P22" i="33"/>
  <c r="P23" i="33"/>
  <c r="Q23" i="33"/>
  <c r="Q18" i="33"/>
  <c r="P18" i="33"/>
  <c r="Q29" i="33"/>
  <c r="P29" i="33"/>
  <c r="P40" i="33"/>
  <c r="Q40" i="33"/>
  <c r="Q34" i="33"/>
  <c r="P34" i="33"/>
  <c r="N42" i="33"/>
  <c r="O42" i="33" s="1"/>
  <c r="Q22" i="32"/>
  <c r="P22" i="32"/>
  <c r="P40" i="32"/>
  <c r="Q40" i="32"/>
  <c r="Q18" i="32"/>
  <c r="P18" i="32"/>
  <c r="Q17" i="32"/>
  <c r="P17" i="32"/>
  <c r="Q24" i="32"/>
  <c r="P24" i="32"/>
  <c r="P23" i="32"/>
  <c r="Q23" i="32"/>
  <c r="Q29" i="32"/>
  <c r="P29" i="32"/>
  <c r="Q34" i="32"/>
  <c r="P34" i="32"/>
  <c r="Q20" i="32"/>
  <c r="P20" i="32"/>
  <c r="Q34" i="8"/>
  <c r="P34" i="8"/>
  <c r="Q40" i="8"/>
  <c r="P40" i="8"/>
  <c r="Q29" i="8"/>
  <c r="P29" i="8"/>
  <c r="Q22" i="8"/>
  <c r="P22" i="8"/>
  <c r="Q23" i="8"/>
  <c r="P23" i="8"/>
  <c r="Q24" i="8"/>
  <c r="P24" i="8"/>
  <c r="Q20" i="8"/>
  <c r="P20" i="8"/>
  <c r="Q18" i="8"/>
  <c r="P18" i="8"/>
  <c r="AF52" i="31"/>
  <c r="AF13" i="31"/>
  <c r="AF46" i="31"/>
  <c r="AF37" i="31"/>
  <c r="AF55" i="31"/>
  <c r="AF43" i="31"/>
  <c r="AF34" i="31"/>
  <c r="AF31" i="31"/>
  <c r="AF19" i="31"/>
  <c r="AF4" i="31"/>
  <c r="E30" i="8"/>
  <c r="T16" i="8"/>
  <c r="D29" i="8"/>
  <c r="D28" i="8"/>
  <c r="D22" i="8"/>
  <c r="Q16" i="36" l="1"/>
  <c r="P16" i="36"/>
  <c r="Q19" i="36"/>
  <c r="P19" i="36"/>
  <c r="Q21" i="36"/>
  <c r="P21" i="36"/>
  <c r="Q36" i="36"/>
  <c r="P36" i="36"/>
  <c r="Q25" i="36"/>
  <c r="P25" i="36"/>
  <c r="P28" i="36"/>
  <c r="Q28" i="36"/>
  <c r="Q30" i="36"/>
  <c r="P30" i="36"/>
  <c r="P38" i="36"/>
  <c r="Q38" i="36"/>
  <c r="Q26" i="36"/>
  <c r="P26" i="36"/>
  <c r="P32" i="36"/>
  <c r="Q32" i="36"/>
  <c r="Q21" i="35"/>
  <c r="P21" i="35"/>
  <c r="P25" i="35"/>
  <c r="Q25" i="35"/>
  <c r="P28" i="35"/>
  <c r="Q28" i="35"/>
  <c r="P38" i="35"/>
  <c r="Q38" i="35"/>
  <c r="Q26" i="35"/>
  <c r="P26" i="35"/>
  <c r="Q32" i="35"/>
  <c r="P32" i="35"/>
  <c r="Q36" i="35"/>
  <c r="P36" i="35"/>
  <c r="Q16" i="35"/>
  <c r="P16" i="35"/>
  <c r="Q30" i="35"/>
  <c r="P30" i="35"/>
  <c r="Q19" i="35"/>
  <c r="P19" i="35"/>
  <c r="P28" i="34"/>
  <c r="Q28" i="34"/>
  <c r="Q26" i="34"/>
  <c r="P26" i="34"/>
  <c r="Q19" i="34"/>
  <c r="P19" i="34"/>
  <c r="Q25" i="34"/>
  <c r="P25" i="34"/>
  <c r="Q32" i="34"/>
  <c r="P32" i="34"/>
  <c r="Q16" i="34"/>
  <c r="P16" i="34"/>
  <c r="Q30" i="34"/>
  <c r="P30" i="34"/>
  <c r="Q21" i="34"/>
  <c r="P21" i="34"/>
  <c r="P38" i="34"/>
  <c r="Q38" i="34"/>
  <c r="Q36" i="34"/>
  <c r="P36" i="34"/>
  <c r="P32" i="33"/>
  <c r="Q32" i="33"/>
  <c r="Q30" i="33"/>
  <c r="P30" i="33"/>
  <c r="Q21" i="33"/>
  <c r="P21" i="33"/>
  <c r="P38" i="33"/>
  <c r="Q38" i="33"/>
  <c r="Q36" i="33"/>
  <c r="P36" i="33"/>
  <c r="Q26" i="33"/>
  <c r="P26" i="33"/>
  <c r="P16" i="33"/>
  <c r="Q16" i="33"/>
  <c r="Q19" i="33"/>
  <c r="P19" i="33"/>
  <c r="P25" i="33"/>
  <c r="Q25" i="33"/>
  <c r="P28" i="33"/>
  <c r="Q28" i="33"/>
  <c r="Q30" i="32"/>
  <c r="P30" i="32"/>
  <c r="Q38" i="32"/>
  <c r="P38" i="32"/>
  <c r="Q28" i="32"/>
  <c r="P28" i="32"/>
  <c r="Q16" i="8"/>
  <c r="Q16" i="32"/>
  <c r="P16" i="32"/>
  <c r="Q19" i="32"/>
  <c r="P19" i="32"/>
  <c r="Q21" i="32"/>
  <c r="P21" i="32"/>
  <c r="P36" i="32"/>
  <c r="Q36" i="32"/>
  <c r="P25" i="32"/>
  <c r="Q25" i="32"/>
  <c r="Q26" i="32"/>
  <c r="P26" i="32"/>
  <c r="Q32" i="32"/>
  <c r="P32" i="32"/>
  <c r="Q28" i="8"/>
  <c r="P28" i="8"/>
  <c r="Q30" i="8"/>
  <c r="P30" i="8"/>
  <c r="Q32" i="8"/>
  <c r="P32" i="8"/>
  <c r="P36" i="8"/>
  <c r="Q36" i="8"/>
  <c r="Q38" i="8"/>
  <c r="P38" i="8"/>
  <c r="Q21" i="8"/>
  <c r="P21" i="8"/>
  <c r="Q25" i="8"/>
  <c r="P25" i="8"/>
  <c r="Q19" i="8"/>
  <c r="P19" i="8"/>
  <c r="Q26" i="8"/>
  <c r="P26" i="8"/>
  <c r="P16" i="8"/>
  <c r="P17" i="8"/>
  <c r="Q17" i="8"/>
  <c r="O5" i="8"/>
  <c r="S22" i="8" s="1"/>
  <c r="S29" i="8" l="1"/>
  <c r="S28" i="8"/>
  <c r="G40" i="8" l="1"/>
  <c r="G39" i="8"/>
  <c r="G38" i="8"/>
  <c r="G37" i="8"/>
  <c r="G36" i="8"/>
  <c r="G35" i="8"/>
  <c r="G34" i="8"/>
  <c r="G33" i="8"/>
  <c r="G32" i="8"/>
  <c r="G30" i="8"/>
  <c r="G29" i="8"/>
  <c r="G28" i="8"/>
  <c r="G26" i="8"/>
  <c r="G25" i="8"/>
  <c r="G24" i="8"/>
  <c r="G23" i="8"/>
  <c r="G22" i="8"/>
  <c r="G21" i="8"/>
  <c r="G20" i="8"/>
  <c r="G19" i="8"/>
  <c r="G18" i="8"/>
  <c r="F40" i="8"/>
  <c r="F38" i="8"/>
  <c r="F36" i="8"/>
  <c r="F34" i="8"/>
  <c r="F32" i="8"/>
  <c r="F30" i="8"/>
  <c r="F29" i="8"/>
  <c r="F28" i="8"/>
  <c r="F26" i="8"/>
  <c r="F25" i="8"/>
  <c r="F24" i="8"/>
  <c r="F23" i="8"/>
  <c r="F22" i="8"/>
  <c r="F21" i="8"/>
  <c r="F20" i="8"/>
  <c r="G17" i="8"/>
  <c r="E39" i="8"/>
  <c r="E38" i="8"/>
  <c r="E37" i="8"/>
  <c r="E36" i="8"/>
  <c r="E35" i="8"/>
  <c r="E34" i="8"/>
  <c r="E33" i="8"/>
  <c r="E32" i="8"/>
  <c r="T22" i="8"/>
  <c r="Q27" i="8"/>
  <c r="P27" i="8"/>
  <c r="G42" i="8" l="1"/>
  <c r="B18" i="8" l="1"/>
  <c r="B17" i="8"/>
  <c r="K34" i="8" l="1"/>
  <c r="K36" i="8"/>
  <c r="K38" i="8"/>
  <c r="K40" i="8"/>
  <c r="J34" i="8"/>
  <c r="J36" i="8"/>
  <c r="J38" i="8"/>
  <c r="J40" i="8"/>
  <c r="J32" i="8"/>
  <c r="K32" i="8"/>
  <c r="K30" i="8"/>
  <c r="K29" i="8"/>
  <c r="K28" i="8"/>
  <c r="J30" i="8"/>
  <c r="J29" i="8"/>
  <c r="J28" i="8"/>
  <c r="J7" i="8"/>
  <c r="K7" i="8"/>
  <c r="J20" i="8"/>
  <c r="K21" i="8"/>
  <c r="K22" i="8"/>
  <c r="K23" i="8"/>
  <c r="K24" i="8"/>
  <c r="K25" i="8"/>
  <c r="K26" i="8"/>
  <c r="K20" i="8"/>
  <c r="J21" i="8"/>
  <c r="J22" i="8"/>
  <c r="J23" i="8"/>
  <c r="J24" i="8"/>
  <c r="J25" i="8"/>
  <c r="J26" i="8"/>
  <c r="R13" i="8"/>
  <c r="R32" i="8" l="1"/>
  <c r="N32" i="8" s="1"/>
  <c r="O32" i="8" s="1"/>
  <c r="R38" i="8"/>
  <c r="R22" i="8"/>
  <c r="R30" i="8"/>
  <c r="N54" i="8" s="1"/>
  <c r="R29" i="8"/>
  <c r="R25" i="8"/>
  <c r="R21" i="8"/>
  <c r="R34" i="8"/>
  <c r="R28" i="8"/>
  <c r="N49" i="8" s="1"/>
  <c r="R24" i="8"/>
  <c r="R40" i="8"/>
  <c r="R20" i="8"/>
  <c r="N20" i="8" s="1"/>
  <c r="R27" i="8"/>
  <c r="R23" i="8"/>
  <c r="R26" i="8"/>
  <c r="R36" i="8"/>
  <c r="N17" i="8"/>
  <c r="N18" i="8"/>
  <c r="N19" i="8"/>
  <c r="O19" i="8" s="1"/>
  <c r="N57" i="8" l="1"/>
  <c r="N56" i="8"/>
  <c r="N55" i="8"/>
  <c r="N53" i="8"/>
  <c r="N50" i="8"/>
  <c r="O18" i="8"/>
  <c r="G57" i="8"/>
  <c r="N30" i="8" l="1"/>
  <c r="N40" i="8"/>
  <c r="N29" i="8"/>
  <c r="N28" i="8"/>
  <c r="N21" i="8"/>
  <c r="N22" i="8"/>
  <c r="N23" i="8"/>
  <c r="N24" i="8"/>
  <c r="N25" i="8"/>
  <c r="N26" i="8"/>
  <c r="B20" i="8"/>
  <c r="G52" i="8"/>
  <c r="D11" i="8"/>
  <c r="N38" i="8" l="1"/>
  <c r="O38" i="8" s="1"/>
  <c r="N36" i="8"/>
  <c r="O36" i="8" s="1"/>
  <c r="N34" i="8"/>
  <c r="O34" i="8" s="1"/>
  <c r="T29" i="8"/>
  <c r="I50" i="8" s="1"/>
  <c r="T28" i="8"/>
  <c r="I49" i="8" s="1"/>
  <c r="D54" i="8"/>
  <c r="O54" i="8" s="1"/>
  <c r="O30" i="8"/>
  <c r="N51" i="8"/>
  <c r="I51" i="8"/>
  <c r="N52" i="8"/>
  <c r="D55" i="8"/>
  <c r="O55" i="8" s="1"/>
  <c r="D56" i="8"/>
  <c r="O56" i="8" s="1"/>
  <c r="O20" i="8"/>
  <c r="D57" i="8"/>
  <c r="O57" i="8" s="1"/>
  <c r="I52" i="8"/>
  <c r="O23" i="8"/>
  <c r="O25" i="8"/>
  <c r="I55" i="8"/>
  <c r="O24" i="8"/>
  <c r="D53" i="8"/>
  <c r="O53" i="8" s="1"/>
  <c r="D52" i="8"/>
  <c r="D51" i="8"/>
  <c r="G51" i="8"/>
  <c r="I53" i="8"/>
  <c r="I54" i="8"/>
  <c r="I56" i="8"/>
  <c r="I57" i="8"/>
  <c r="K54" i="8" l="1"/>
  <c r="K53" i="8"/>
  <c r="K51" i="8"/>
  <c r="K57" i="8"/>
  <c r="K56" i="8"/>
  <c r="K55" i="8"/>
  <c r="K52" i="8"/>
  <c r="O52" i="8"/>
  <c r="O51" i="8"/>
  <c r="N42" i="8" l="1"/>
  <c r="O22" i="8"/>
  <c r="D49" i="8"/>
  <c r="O28" i="8"/>
  <c r="G55" i="8"/>
  <c r="G56" i="8"/>
  <c r="G54" i="8"/>
  <c r="G53" i="8"/>
  <c r="D50" i="8"/>
  <c r="O26" i="8"/>
  <c r="D48" i="8"/>
  <c r="K49" i="8" l="1"/>
  <c r="O49" i="8"/>
  <c r="O50" i="8"/>
  <c r="K50" i="8"/>
  <c r="O29" i="8"/>
  <c r="O40" i="8"/>
  <c r="O21" i="8" l="1"/>
  <c r="O42" i="8"/>
  <c r="O17" i="8"/>
</calcChain>
</file>

<file path=xl/sharedStrings.xml><?xml version="1.0" encoding="utf-8"?>
<sst xmlns="http://schemas.openxmlformats.org/spreadsheetml/2006/main" count="846" uniqueCount="177">
  <si>
    <t>Analýza dopadu případných změn vstupních parametrů pro výpočet daně z nemovitých věcí</t>
  </si>
  <si>
    <t>Obec</t>
  </si>
  <si>
    <t>Katastrální území</t>
  </si>
  <si>
    <t>Počet obyvatel obce</t>
  </si>
  <si>
    <t>Výnos (Kč)</t>
  </si>
  <si>
    <t>Trvalý tvaní porost (B)</t>
  </si>
  <si>
    <t>Orná půda, zahrada, ovocný sad (A)</t>
  </si>
  <si>
    <t>Hospodářský les (C)</t>
  </si>
  <si>
    <t>Zastavěná plocha a nádvoří (E)</t>
  </si>
  <si>
    <t>Stavební pozemek (F)</t>
  </si>
  <si>
    <t>Ostatní plocha (G)</t>
  </si>
  <si>
    <t>Ostatní zdanitelná stavba (P)</t>
  </si>
  <si>
    <t>Celkem</t>
  </si>
  <si>
    <t>Typové příklady zdanění vybraných nemovitých věcí</t>
  </si>
  <si>
    <t>P Ř E D P O K L Á D A N Ý   V Ý N O S   D A N Ě   Z   N E M O V I T Ý CH   V Ě C Í</t>
  </si>
  <si>
    <t>Typ nemovité věci</t>
  </si>
  <si>
    <t xml:space="preserve"> --- </t>
  </si>
  <si>
    <t>Změna oproti současnému stavu (Kč)</t>
  </si>
  <si>
    <t>Zpevněné plochy užívané k podnikání - ostatní (Y)</t>
  </si>
  <si>
    <t>Zpevněné plochy užívané k podnikání - zemědělství, ... (X)</t>
  </si>
  <si>
    <t>Rozdíl oproti současnému stavu (Kč)</t>
  </si>
  <si>
    <t>Současný stav (Kč)</t>
  </si>
  <si>
    <t>ÚzP</t>
  </si>
  <si>
    <t>Název obce</t>
  </si>
  <si>
    <t>č. ÚzP</t>
  </si>
  <si>
    <t>počet obyvatel</t>
  </si>
  <si>
    <t>F</t>
  </si>
  <si>
    <t>L</t>
  </si>
  <si>
    <t>M</t>
  </si>
  <si>
    <t>N</t>
  </si>
  <si>
    <t>O</t>
  </si>
  <si>
    <t>S</t>
  </si>
  <si>
    <t>T</t>
  </si>
  <si>
    <t>U</t>
  </si>
  <si>
    <t>V</t>
  </si>
  <si>
    <t>koef.</t>
  </si>
  <si>
    <t>do 1000</t>
  </si>
  <si>
    <t>1001 až 6000</t>
  </si>
  <si>
    <t>6001 až 10000</t>
  </si>
  <si>
    <t>10001 až 25000</t>
  </si>
  <si>
    <t>25001 až 50000</t>
  </si>
  <si>
    <t>50001 a více</t>
  </si>
  <si>
    <t xml:space="preserve">Praha </t>
  </si>
  <si>
    <t>bez ohledu na počet obyvatel</t>
  </si>
  <si>
    <t>místní koef.</t>
  </si>
  <si>
    <r>
      <t>1,0 - 5,0</t>
    </r>
    <r>
      <rPr>
        <sz val="8"/>
        <color theme="1"/>
        <rFont val="Calibri"/>
        <family val="2"/>
        <charset val="238"/>
        <scheme val="minor"/>
      </rPr>
      <t xml:space="preserve"> rozliš.na jedno desetinné místo</t>
    </r>
  </si>
  <si>
    <t>H</t>
  </si>
  <si>
    <t>I</t>
  </si>
  <si>
    <t>Z</t>
  </si>
  <si>
    <t>R</t>
  </si>
  <si>
    <t>K</t>
  </si>
  <si>
    <t>J</t>
  </si>
  <si>
    <t xml:space="preserve">pro J, K, L, M, N, O, S, T, U, V </t>
  </si>
  <si>
    <t>Zákonné koeficienty pro F, H, I, R, Z</t>
  </si>
  <si>
    <t>Zákonná úprava koef. pro F, H, I, R, Z</t>
  </si>
  <si>
    <t>C_OBCE</t>
  </si>
  <si>
    <t>NAZEV_OBCE</t>
  </si>
  <si>
    <t>C_KU</t>
  </si>
  <si>
    <t>NAZEV_KU</t>
  </si>
  <si>
    <t>A</t>
  </si>
  <si>
    <t>B</t>
  </si>
  <si>
    <t>C</t>
  </si>
  <si>
    <t>E</t>
  </si>
  <si>
    <t>G</t>
  </si>
  <si>
    <t>P</t>
  </si>
  <si>
    <t>X</t>
  </si>
  <si>
    <t>Y</t>
  </si>
  <si>
    <t>Ostatní plocha, jiná plocha (Q)</t>
  </si>
  <si>
    <t>Ostatní plocha, neplodná půda, mez, stráň, … (W)</t>
  </si>
  <si>
    <t>Koeficienty</t>
  </si>
  <si>
    <t>A,B,W</t>
  </si>
  <si>
    <t>Zdaňovací období roku 2024</t>
  </si>
  <si>
    <t>Zdaňovací období roku 2025</t>
  </si>
  <si>
    <t>Pole 10 000 m2  (1 ha)</t>
  </si>
  <si>
    <t>Rodinný dům, obytný dům (H)
Příslušenství k rodinnému domu, k obytnému domu (I)</t>
  </si>
  <si>
    <t>Jednotka užívaná pro bydlení - byt (R)
Ostatní zdanitelná jednotka (Z)</t>
  </si>
  <si>
    <t>Budova pro rodinnou rekreaci (J)
Příslušenství k budově pro rodinnou rekreaci (K)</t>
  </si>
  <si>
    <t xml:space="preserve">   Úprava vstupních parametrů pro výpočet daně z nemovitých věcí</t>
  </si>
  <si>
    <t>místní koeficient pro KÚ</t>
  </si>
  <si>
    <t>místní koeficient pro skupinu NV</t>
  </si>
  <si>
    <t>velikostní</t>
  </si>
  <si>
    <t>SKUPINY nemovitých věcí (NV)</t>
  </si>
  <si>
    <t>Předpokládaný výnos daně z nemovitých věcí dle jednotlivých pozemků, staveb a jednotek (dle SKUPIN nemovitých věcí)</t>
  </si>
  <si>
    <t>Výše daně bez zásahu obce (Kč)</t>
  </si>
  <si>
    <t>Volitelné koeficienty</t>
  </si>
  <si>
    <t>Inflační koeficient</t>
  </si>
  <si>
    <t>Výše daně s vydáním vyhlášky nově navržených koeficientů (Kč)</t>
  </si>
  <si>
    <r>
      <t>Orientační sazba daně (Kč/m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  <r>
      <rPr>
        <b/>
        <sz val="12"/>
        <color theme="1"/>
        <rFont val="Calibri"/>
        <family val="2"/>
        <charset val="238"/>
        <scheme val="minor"/>
      </rPr>
      <t>)</t>
    </r>
  </si>
  <si>
    <r>
      <t>Rodinný dům, 150 m</t>
    </r>
    <r>
      <rPr>
        <b/>
        <vertAlign val="superscript"/>
        <sz val="11.5"/>
        <color theme="1"/>
        <rFont val="Calibri"/>
        <family val="2"/>
        <charset val="238"/>
        <scheme val="minor"/>
      </rPr>
      <t>2</t>
    </r>
    <r>
      <rPr>
        <b/>
        <sz val="11.5"/>
        <color theme="1"/>
        <rFont val="Calibri"/>
        <family val="2"/>
        <charset val="238"/>
        <scheme val="minor"/>
      </rPr>
      <t>, přízemní</t>
    </r>
  </si>
  <si>
    <r>
      <t>Jednotka užívaná k bydlení - byt 2+1, 60 m</t>
    </r>
    <r>
      <rPr>
        <b/>
        <vertAlign val="superscript"/>
        <sz val="11.5"/>
        <color theme="1"/>
        <rFont val="Calibri"/>
        <family val="2"/>
        <charset val="238"/>
        <scheme val="minor"/>
      </rPr>
      <t>2</t>
    </r>
  </si>
  <si>
    <r>
      <t>Zahrada u rodinného domu, 1000 m</t>
    </r>
    <r>
      <rPr>
        <b/>
        <vertAlign val="superscript"/>
        <sz val="11.5"/>
        <color theme="1"/>
        <rFont val="Calibri"/>
        <family val="2"/>
        <charset val="238"/>
        <scheme val="minor"/>
      </rPr>
      <t>2</t>
    </r>
  </si>
  <si>
    <r>
      <t>Garáž, 20 m</t>
    </r>
    <r>
      <rPr>
        <b/>
        <vertAlign val="superscript"/>
        <sz val="11.5"/>
        <color theme="1"/>
        <rFont val="Calibri"/>
        <family val="2"/>
        <charset val="238"/>
        <scheme val="minor"/>
      </rPr>
      <t>2</t>
    </r>
  </si>
  <si>
    <r>
      <t>Rekreační chata, budova pro rodinnou rekreaci, 50 m</t>
    </r>
    <r>
      <rPr>
        <b/>
        <vertAlign val="superscript"/>
        <sz val="11.5"/>
        <color theme="1"/>
        <rFont val="Calibri"/>
        <family val="2"/>
        <charset val="238"/>
        <scheme val="minor"/>
      </rPr>
      <t>2</t>
    </r>
    <r>
      <rPr>
        <b/>
        <sz val="11.5"/>
        <color theme="1"/>
        <rFont val="Calibri"/>
        <family val="2"/>
        <charset val="238"/>
        <scheme val="minor"/>
      </rPr>
      <t>, přízemní</t>
    </r>
  </si>
  <si>
    <r>
      <t>Stavba užívaná k podnikání (zemědělská prvovýroba), 200 m</t>
    </r>
    <r>
      <rPr>
        <b/>
        <vertAlign val="superscript"/>
        <sz val="11.5"/>
        <color theme="1"/>
        <rFont val="Calibri"/>
        <family val="2"/>
        <charset val="238"/>
        <scheme val="minor"/>
      </rPr>
      <t>2</t>
    </r>
    <r>
      <rPr>
        <b/>
        <sz val="11.5"/>
        <color theme="1"/>
        <rFont val="Calibri"/>
        <family val="2"/>
        <charset val="238"/>
        <scheme val="minor"/>
      </rPr>
      <t>, přízemní</t>
    </r>
  </si>
  <si>
    <r>
      <t>Stavba užívaná k podnikání (dílna), 200 m</t>
    </r>
    <r>
      <rPr>
        <b/>
        <vertAlign val="superscript"/>
        <sz val="11.5"/>
        <color theme="1"/>
        <rFont val="Calibri"/>
        <family val="2"/>
        <charset val="238"/>
        <scheme val="minor"/>
      </rPr>
      <t>2</t>
    </r>
    <r>
      <rPr>
        <b/>
        <sz val="11.5"/>
        <color theme="1"/>
        <rFont val="Calibri"/>
        <family val="2"/>
        <charset val="238"/>
        <scheme val="minor"/>
      </rPr>
      <t>, přízemní</t>
    </r>
  </si>
  <si>
    <r>
      <t>Stavba užívaná k podnikání (prodejna), 200 m</t>
    </r>
    <r>
      <rPr>
        <b/>
        <vertAlign val="superscript"/>
        <sz val="11.5"/>
        <color theme="1"/>
        <rFont val="Calibri"/>
        <family val="2"/>
        <charset val="238"/>
        <scheme val="minor"/>
      </rPr>
      <t>2</t>
    </r>
    <r>
      <rPr>
        <b/>
        <sz val="11.5"/>
        <color theme="1"/>
        <rFont val="Calibri"/>
        <family val="2"/>
        <charset val="238"/>
        <scheme val="minor"/>
      </rPr>
      <t>, přízemní</t>
    </r>
  </si>
  <si>
    <t>místní koeficient pro OBEC</t>
  </si>
  <si>
    <t>žádný</t>
  </si>
  <si>
    <t>Q</t>
  </si>
  <si>
    <t>W</t>
  </si>
  <si>
    <t>SOUČET</t>
  </si>
  <si>
    <t>zvýšit o jednu kategorii</t>
  </si>
  <si>
    <t>pro skupinu NV</t>
  </si>
  <si>
    <t>Garáž (L)
Jednotka užívaná jako garáž (V)</t>
  </si>
  <si>
    <t>Stavba užívaná k podnikání v zemědělské prvovýrobě, ... (M)
Jednotka užívaná k podnikání v zemědělské prvovýrobě, ... (S)</t>
  </si>
  <si>
    <t>Stavba užívaná k podnikání v průmyslu, ... (N)
Jednotka užívaná k podnikání v průmyslu, ... (T)</t>
  </si>
  <si>
    <t>Stavba užívaná k ostatním druhům podnikání (O)
Jednotka užívaná pro ostatní druhy podnikání (U)</t>
  </si>
  <si>
    <t>621285</t>
  </si>
  <si>
    <t>ČESKÁ KAMENICE</t>
  </si>
  <si>
    <t>621293</t>
  </si>
  <si>
    <t>DOLNÍ KAMENICE</t>
  </si>
  <si>
    <t>621315</t>
  </si>
  <si>
    <t>HORNÍ KAMENICE</t>
  </si>
  <si>
    <t>664791</t>
  </si>
  <si>
    <t>KERHARTICE</t>
  </si>
  <si>
    <t>677396</t>
  </si>
  <si>
    <t>LÍSKA</t>
  </si>
  <si>
    <t>780600</t>
  </si>
  <si>
    <t>KAMENICKÁ NOVÁ VÍSKA</t>
  </si>
  <si>
    <t>data ze 17. 6. 2024/rok 2024</t>
  </si>
  <si>
    <t/>
  </si>
  <si>
    <t>ČESKÁ_KAMENICE</t>
  </si>
  <si>
    <t>CENA_KÚ</t>
  </si>
  <si>
    <t>MK</t>
  </si>
  <si>
    <t>2</t>
  </si>
  <si>
    <t>562394</t>
  </si>
  <si>
    <t>Česká Kamenice</t>
  </si>
  <si>
    <t>Soupis obcí v Ústeckém kraji včetně počtu obyvatel</t>
  </si>
  <si>
    <t>ku1</t>
  </si>
  <si>
    <t>ku2</t>
  </si>
  <si>
    <t>ku3</t>
  </si>
  <si>
    <t>počet</t>
  </si>
  <si>
    <t>MIN</t>
  </si>
  <si>
    <t>MAX</t>
  </si>
  <si>
    <t>kontrola</t>
  </si>
  <si>
    <t>ku4</t>
  </si>
  <si>
    <t>ku5</t>
  </si>
  <si>
    <t>ku6</t>
  </si>
  <si>
    <t>ku7</t>
  </si>
  <si>
    <t>ku8</t>
  </si>
  <si>
    <t>ku9</t>
  </si>
  <si>
    <t>ku10</t>
  </si>
  <si>
    <t>ku11</t>
  </si>
  <si>
    <t>ku12</t>
  </si>
  <si>
    <t>ku13</t>
  </si>
  <si>
    <t>ku14</t>
  </si>
  <si>
    <t>ku15</t>
  </si>
  <si>
    <t>ku16</t>
  </si>
  <si>
    <t>ku17</t>
  </si>
  <si>
    <t>ku18</t>
  </si>
  <si>
    <t>ku19</t>
  </si>
  <si>
    <t>ku20</t>
  </si>
  <si>
    <t>ku21</t>
  </si>
  <si>
    <t>ku22</t>
  </si>
  <si>
    <t>ku23</t>
  </si>
  <si>
    <t>ku24</t>
  </si>
  <si>
    <t>ku25</t>
  </si>
  <si>
    <t>ku26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</si>
  <si>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</si>
  <si>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</si>
  <si>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</si>
  <si>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</si>
  <si>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</si>
  <si>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</si>
  <si>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</si>
  <si>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</si>
  <si>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</si>
  <si>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</si>
  <si>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L28</t>
  </si>
  <si>
    <t>L29</t>
  </si>
  <si>
    <t>L30</t>
  </si>
  <si>
    <t>L32</t>
  </si>
  <si>
    <t>L34</t>
  </si>
  <si>
    <t>L36</t>
  </si>
  <si>
    <t>L38</t>
  </si>
  <si>
    <t>L40</t>
  </si>
  <si>
    <t>J16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</si>
</sst>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0"/>
    <numFmt numFmtId="166" formatCode="0.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b/>
      <vertAlign val="superscript"/>
      <sz val="11.5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rgb="FF0000FF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6" fillId="0" borderId="0"/>
  </cellStyleXfs>
  <cellXfs count="2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3" fontId="0" fillId="0" borderId="0" xfId="0" applyNumberFormat="1" applyAlignment="1">
      <alignment horizontal="right" vertical="center" inden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24" xfId="0" applyBorder="1"/>
    <xf numFmtId="0" fontId="0" fillId="0" borderId="24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top" wrapText="1"/>
    </xf>
    <xf numFmtId="0" fontId="1" fillId="3" borderId="52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166" fontId="0" fillId="0" borderId="49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166" fontId="0" fillId="4" borderId="49" xfId="0" applyNumberFormat="1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166" fontId="0" fillId="4" borderId="24" xfId="0" applyNumberFormat="1" applyFill="1" applyBorder="1" applyAlignment="1">
      <alignment horizontal="center"/>
    </xf>
    <xf numFmtId="166" fontId="0" fillId="0" borderId="24" xfId="0" applyNumberForma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49" fontId="0" fillId="0" borderId="0" xfId="0" applyNumberFormat="1"/>
    <xf numFmtId="0" fontId="0" fillId="0" borderId="54" xfId="0" applyBorder="1"/>
    <xf numFmtId="166" fontId="10" fillId="0" borderId="0" xfId="0" applyNumberFormat="1" applyFont="1" applyAlignment="1">
      <alignment wrapText="1"/>
    </xf>
    <xf numFmtId="0" fontId="1" fillId="0" borderId="20" xfId="0" applyFont="1" applyBorder="1" applyAlignment="1">
      <alignment horizontal="left" vertical="center" wrapText="1"/>
    </xf>
    <xf numFmtId="0" fontId="5" fillId="0" borderId="0" xfId="0" applyFont="1"/>
    <xf numFmtId="0" fontId="12" fillId="0" borderId="0" xfId="0" applyFont="1" applyAlignment="1">
      <alignment horizontal="center" vertical="center"/>
    </xf>
    <xf numFmtId="165" fontId="12" fillId="0" borderId="21" xfId="0" applyNumberFormat="1" applyFont="1" applyBorder="1" applyAlignment="1">
      <alignment horizontal="right" vertical="center" indent="1"/>
    </xf>
    <xf numFmtId="0" fontId="12" fillId="0" borderId="0" xfId="0" applyFont="1"/>
    <xf numFmtId="0" fontId="12" fillId="0" borderId="2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166" fontId="12" fillId="0" borderId="27" xfId="0" applyNumberFormat="1" applyFont="1" applyBorder="1" applyAlignment="1">
      <alignment horizontal="center" vertical="center"/>
    </xf>
    <xf numFmtId="165" fontId="12" fillId="0" borderId="7" xfId="0" applyNumberFormat="1" applyFont="1" applyBorder="1" applyAlignment="1">
      <alignment horizontal="right" vertical="center" indent="1"/>
    </xf>
    <xf numFmtId="0" fontId="12" fillId="0" borderId="24" xfId="0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right" vertical="center" indent="1"/>
    </xf>
    <xf numFmtId="164" fontId="12" fillId="0" borderId="7" xfId="0" applyNumberFormat="1" applyFont="1" applyBorder="1" applyAlignment="1">
      <alignment horizontal="right" vertical="center" indent="1"/>
    </xf>
    <xf numFmtId="49" fontId="12" fillId="0" borderId="6" xfId="0" applyNumberFormat="1" applyFont="1" applyBorder="1" applyAlignment="1">
      <alignment horizontal="center" vertical="center"/>
    </xf>
    <xf numFmtId="2" fontId="12" fillId="0" borderId="9" xfId="0" applyNumberFormat="1" applyFont="1" applyBorder="1" applyAlignment="1">
      <alignment horizontal="right" vertical="center" indent="1"/>
    </xf>
    <xf numFmtId="49" fontId="12" fillId="0" borderId="8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66" fontId="12" fillId="0" borderId="25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right" vertical="center" indent="1"/>
    </xf>
    <xf numFmtId="166" fontId="12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3" fontId="12" fillId="0" borderId="46" xfId="0" applyNumberFormat="1" applyFont="1" applyBorder="1" applyAlignment="1">
      <alignment horizontal="right" vertical="center" indent="1"/>
    </xf>
    <xf numFmtId="0" fontId="12" fillId="0" borderId="34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 indent="1"/>
    </xf>
    <xf numFmtId="0" fontId="12" fillId="0" borderId="46" xfId="0" applyFont="1" applyBorder="1" applyAlignment="1">
      <alignment horizontal="right" vertical="center" indent="1"/>
    </xf>
    <xf numFmtId="2" fontId="12" fillId="0" borderId="11" xfId="0" applyNumberFormat="1" applyFont="1" applyBorder="1" applyAlignment="1">
      <alignment horizontal="right" vertical="center" indent="1"/>
    </xf>
    <xf numFmtId="0" fontId="12" fillId="0" borderId="23" xfId="0" applyFont="1" applyBorder="1" applyAlignment="1">
      <alignment horizontal="center" vertical="center"/>
    </xf>
    <xf numFmtId="166" fontId="12" fillId="0" borderId="23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right" vertical="center" indent="1"/>
    </xf>
    <xf numFmtId="2" fontId="12" fillId="0" borderId="19" xfId="0" applyNumberFormat="1" applyFont="1" applyBorder="1" applyAlignment="1">
      <alignment horizontal="right" vertical="center" indent="1"/>
    </xf>
    <xf numFmtId="0" fontId="12" fillId="0" borderId="55" xfId="0" applyFont="1" applyBorder="1"/>
    <xf numFmtId="0" fontId="12" fillId="0" borderId="34" xfId="0" applyFont="1" applyBorder="1"/>
    <xf numFmtId="49" fontId="12" fillId="0" borderId="25" xfId="0" applyNumberFormat="1" applyFont="1" applyBorder="1" applyAlignment="1">
      <alignment horizontal="center" vertical="center"/>
    </xf>
    <xf numFmtId="166" fontId="12" fillId="0" borderId="8" xfId="0" applyNumberFormat="1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2" fillId="0" borderId="3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5" fillId="0" borderId="0" xfId="0" applyFont="1"/>
    <xf numFmtId="3" fontId="14" fillId="0" borderId="33" xfId="0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3" fontId="12" fillId="0" borderId="65" xfId="0" applyNumberFormat="1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right" indent="1"/>
    </xf>
    <xf numFmtId="3" fontId="12" fillId="0" borderId="0" xfId="0" applyNumberFormat="1" applyFont="1" applyAlignment="1">
      <alignment horizontal="center" vertical="center"/>
    </xf>
    <xf numFmtId="3" fontId="12" fillId="0" borderId="7" xfId="0" applyNumberFormat="1" applyFont="1" applyBorder="1" applyAlignment="1">
      <alignment horizontal="right" indent="1"/>
    </xf>
    <xf numFmtId="3" fontId="12" fillId="0" borderId="9" xfId="0" applyNumberFormat="1" applyFont="1" applyBorder="1" applyAlignment="1">
      <alignment horizontal="right" indent="1"/>
    </xf>
    <xf numFmtId="0" fontId="16" fillId="0" borderId="61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 indent="1"/>
    </xf>
    <xf numFmtId="3" fontId="12" fillId="0" borderId="8" xfId="0" applyNumberFormat="1" applyFont="1" applyBorder="1" applyAlignment="1">
      <alignment horizontal="right" vertical="center" indent="1"/>
    </xf>
    <xf numFmtId="3" fontId="12" fillId="0" borderId="20" xfId="0" applyNumberFormat="1" applyFont="1" applyBorder="1" applyAlignment="1">
      <alignment horizontal="right" vertical="center" inden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166" fontId="20" fillId="0" borderId="0" xfId="0" applyNumberFormat="1" applyFont="1" applyAlignment="1">
      <alignment wrapText="1"/>
    </xf>
    <xf numFmtId="0" fontId="2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wrapText="1"/>
    </xf>
    <xf numFmtId="0" fontId="0" fillId="0" borderId="24" xfId="0" applyBorder="1" applyAlignment="1">
      <alignment vertical="center"/>
    </xf>
    <xf numFmtId="166" fontId="0" fillId="0" borderId="24" xfId="0" applyNumberFormat="1" applyBorder="1" applyAlignment="1">
      <alignment horizontal="center" vertical="center"/>
    </xf>
    <xf numFmtId="0" fontId="0" fillId="0" borderId="26" xfId="0" applyBorder="1"/>
    <xf numFmtId="0" fontId="0" fillId="0" borderId="71" xfId="0" applyBorder="1"/>
    <xf numFmtId="3" fontId="12" fillId="4" borderId="20" xfId="0" applyNumberFormat="1" applyFont="1" applyFill="1" applyBorder="1" applyAlignment="1">
      <alignment horizontal="right" vertical="center" indent="1"/>
    </xf>
    <xf numFmtId="3" fontId="12" fillId="4" borderId="21" xfId="0" applyNumberFormat="1" applyFont="1" applyFill="1" applyBorder="1" applyAlignment="1">
      <alignment horizontal="right" vertical="center" indent="1"/>
    </xf>
    <xf numFmtId="3" fontId="12" fillId="4" borderId="6" xfId="0" applyNumberFormat="1" applyFont="1" applyFill="1" applyBorder="1" applyAlignment="1">
      <alignment horizontal="right" vertical="center" indent="1"/>
    </xf>
    <xf numFmtId="3" fontId="12" fillId="4" borderId="8" xfId="0" applyNumberFormat="1" applyFont="1" applyFill="1" applyBorder="1" applyAlignment="1">
      <alignment horizontal="right" vertical="center" indent="1"/>
    </xf>
    <xf numFmtId="3" fontId="12" fillId="4" borderId="9" xfId="0" applyNumberFormat="1" applyFont="1" applyFill="1" applyBorder="1" applyAlignment="1">
      <alignment horizontal="right" vertical="center" indent="1"/>
    </xf>
    <xf numFmtId="3" fontId="12" fillId="4" borderId="4" xfId="0" applyNumberFormat="1" applyFont="1" applyFill="1" applyBorder="1" applyAlignment="1">
      <alignment horizontal="right" vertical="center" indent="1"/>
    </xf>
    <xf numFmtId="3" fontId="12" fillId="4" borderId="5" xfId="0" applyNumberFormat="1" applyFont="1" applyFill="1" applyBorder="1" applyAlignment="1">
      <alignment horizontal="right" vertical="center" indent="1"/>
    </xf>
    <xf numFmtId="3" fontId="14" fillId="4" borderId="45" xfId="0" applyNumberFormat="1" applyFont="1" applyFill="1" applyBorder="1" applyAlignment="1">
      <alignment horizontal="right" vertical="center" indent="1"/>
    </xf>
    <xf numFmtId="3" fontId="14" fillId="4" borderId="22" xfId="0" applyNumberFormat="1" applyFont="1" applyFill="1" applyBorder="1" applyAlignment="1">
      <alignment horizontal="right" vertical="center" indent="1"/>
    </xf>
    <xf numFmtId="2" fontId="0" fillId="0" borderId="0" xfId="0" applyNumberFormat="1"/>
    <xf numFmtId="3" fontId="12" fillId="0" borderId="19" xfId="0" applyNumberFormat="1" applyFont="1" applyBorder="1" applyAlignment="1">
      <alignment horizontal="right" vertical="center" indent="1"/>
    </xf>
    <xf numFmtId="166" fontId="11" fillId="0" borderId="0" xfId="0" applyNumberFormat="1" applyFont="1"/>
    <xf numFmtId="166" fontId="12" fillId="2" borderId="69" xfId="0" applyNumberFormat="1" applyFont="1" applyFill="1" applyBorder="1" applyAlignment="1" applyProtection="1">
      <alignment horizontal="center" vertical="center"/>
      <protection locked="0"/>
    </xf>
    <xf numFmtId="166" fontId="12" fillId="2" borderId="70" xfId="0" applyNumberFormat="1" applyFont="1" applyFill="1" applyBorder="1" applyAlignment="1" applyProtection="1">
      <alignment horizontal="center" vertical="center"/>
      <protection locked="0"/>
    </xf>
    <xf numFmtId="166" fontId="12" fillId="2" borderId="6" xfId="0" applyNumberFormat="1" applyFont="1" applyFill="1" applyBorder="1" applyAlignment="1" applyProtection="1">
      <alignment horizontal="center" vertical="center"/>
      <protection locked="0"/>
    </xf>
    <xf numFmtId="166" fontId="9" fillId="2" borderId="21" xfId="0" applyNumberFormat="1" applyFont="1" applyFill="1" applyBorder="1" applyAlignment="1" applyProtection="1">
      <alignment horizontal="center" vertical="center"/>
      <protection locked="0"/>
    </xf>
    <xf numFmtId="166" fontId="9" fillId="2" borderId="7" xfId="0" applyNumberFormat="1" applyFont="1" applyFill="1" applyBorder="1" applyAlignment="1" applyProtection="1">
      <alignment horizontal="center" vertical="center"/>
      <protection locked="0"/>
    </xf>
    <xf numFmtId="166" fontId="18" fillId="2" borderId="7" xfId="0" applyNumberFormat="1" applyFont="1" applyFill="1" applyBorder="1" applyAlignment="1" applyProtection="1">
      <alignment horizontal="center" vertical="center"/>
      <protection locked="0"/>
    </xf>
    <xf numFmtId="166" fontId="12" fillId="2" borderId="9" xfId="0" applyNumberFormat="1" applyFont="1" applyFill="1" applyBorder="1" applyAlignment="1" applyProtection="1">
      <alignment horizontal="center" vertical="center"/>
      <protection locked="0"/>
    </xf>
    <xf numFmtId="166" fontId="12" fillId="2" borderId="5" xfId="0" applyNumberFormat="1" applyFont="1" applyFill="1" applyBorder="1" applyAlignment="1" applyProtection="1">
      <alignment horizontal="center" vertical="center"/>
      <protection locked="0"/>
    </xf>
    <xf numFmtId="3" fontId="12" fillId="0" borderId="7" xfId="0" applyNumberFormat="1" applyFont="1" applyBorder="1" applyAlignment="1">
      <alignment horizontal="right" vertical="center" indent="1"/>
    </xf>
    <xf numFmtId="3" fontId="12" fillId="0" borderId="9" xfId="0" applyNumberFormat="1" applyFont="1" applyBorder="1" applyAlignment="1">
      <alignment horizontal="right" vertical="center" indent="1"/>
    </xf>
    <xf numFmtId="3" fontId="12" fillId="0" borderId="21" xfId="0" applyNumberFormat="1" applyFont="1" applyBorder="1" applyAlignment="1">
      <alignment horizontal="right" vertical="center" indent="1"/>
    </xf>
    <xf numFmtId="0" fontId="12" fillId="0" borderId="6" xfId="0" applyFont="1" applyBorder="1" applyAlignment="1">
      <alignment horizontal="center" vertical="center"/>
    </xf>
    <xf numFmtId="166" fontId="12" fillId="0" borderId="6" xfId="0" applyNumberFormat="1" applyFont="1" applyBorder="1" applyAlignment="1">
      <alignment horizontal="center" vertical="center"/>
    </xf>
    <xf numFmtId="166" fontId="12" fillId="0" borderId="24" xfId="0" applyNumberFormat="1" applyFont="1" applyBorder="1" applyAlignment="1">
      <alignment horizontal="center" vertical="center"/>
    </xf>
    <xf numFmtId="166" fontId="12" fillId="0" borderId="26" xfId="0" applyNumberFormat="1" applyFont="1" applyBorder="1" applyAlignment="1">
      <alignment horizontal="center" vertical="center"/>
    </xf>
    <xf numFmtId="3" fontId="12" fillId="4" borderId="7" xfId="0" applyNumberFormat="1" applyFont="1" applyFill="1" applyBorder="1" applyAlignment="1">
      <alignment horizontal="right" vertical="center" indent="1"/>
    </xf>
    <xf numFmtId="166" fontId="12" fillId="2" borderId="7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/>
    <xf numFmtId="0" fontId="20" fillId="0" borderId="0" xfId="0" applyFont="1" applyAlignment="1">
      <alignment horizontal="left" vertical="center"/>
    </xf>
    <xf numFmtId="166" fontId="0" fillId="0" borderId="0" xfId="0" applyNumberFormat="1"/>
    <xf numFmtId="1" fontId="0" fillId="0" borderId="0" xfId="0" applyNumberFormat="1"/>
    <xf numFmtId="49" fontId="1" fillId="0" borderId="0" xfId="0" applyNumberFormat="1" applyFont="1"/>
    <xf numFmtId="0" fontId="4" fillId="3" borderId="5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wrapText="1"/>
    </xf>
    <xf numFmtId="0" fontId="0" fillId="0" borderId="30" xfId="0" applyBorder="1" applyAlignment="1">
      <alignment horizontal="center" vertical="top" wrapText="1"/>
    </xf>
    <xf numFmtId="0" fontId="0" fillId="5" borderId="74" xfId="0" applyFill="1" applyBorder="1"/>
    <xf numFmtId="3" fontId="0" fillId="5" borderId="74" xfId="0" applyNumberFormat="1" applyFill="1" applyBorder="1" applyAlignment="1">
      <alignment horizontal="right"/>
    </xf>
    <xf numFmtId="0" fontId="0" fillId="0" borderId="74" xfId="0" applyBorder="1"/>
    <xf numFmtId="3" fontId="0" fillId="0" borderId="74" xfId="0" applyNumberFormat="1" applyBorder="1" applyAlignment="1">
      <alignment horizontal="right"/>
    </xf>
    <xf numFmtId="0" fontId="0" fillId="6" borderId="0" xfId="0" applyFill="1"/>
    <xf numFmtId="0" fontId="0" fillId="6" borderId="33" xfId="0" applyFill="1" applyBorder="1"/>
    <xf numFmtId="0" fontId="12" fillId="0" borderId="1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66" fontId="12" fillId="0" borderId="26" xfId="0" applyNumberFormat="1" applyFont="1" applyBorder="1" applyAlignment="1">
      <alignment horizontal="center" vertical="center"/>
    </xf>
    <xf numFmtId="166" fontId="12" fillId="0" borderId="49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9" fontId="12" fillId="0" borderId="18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0" fontId="20" fillId="0" borderId="0" xfId="0" applyFont="1"/>
    <xf numFmtId="3" fontId="12" fillId="4" borderId="18" xfId="0" applyNumberFormat="1" applyFont="1" applyFill="1" applyBorder="1" applyAlignment="1">
      <alignment horizontal="right" vertical="center" indent="1"/>
    </xf>
    <xf numFmtId="3" fontId="12" fillId="4" borderId="10" xfId="0" applyNumberFormat="1" applyFont="1" applyFill="1" applyBorder="1" applyAlignment="1">
      <alignment horizontal="right" vertical="center" indent="1"/>
    </xf>
    <xf numFmtId="3" fontId="12" fillId="4" borderId="19" xfId="0" applyNumberFormat="1" applyFont="1" applyFill="1" applyBorder="1" applyAlignment="1">
      <alignment horizontal="right" vertical="center" indent="1"/>
    </xf>
    <xf numFmtId="3" fontId="12" fillId="4" borderId="11" xfId="0" applyNumberFormat="1" applyFont="1" applyFill="1" applyBorder="1" applyAlignment="1">
      <alignment horizontal="right" vertical="center" indent="1"/>
    </xf>
    <xf numFmtId="0" fontId="20" fillId="0" borderId="0" xfId="0" applyFont="1" applyAlignment="1">
      <alignment horizontal="center"/>
    </xf>
    <xf numFmtId="166" fontId="20" fillId="0" borderId="0" xfId="0" applyNumberFormat="1" applyFont="1" applyAlignment="1">
      <alignment horizontal="center"/>
    </xf>
    <xf numFmtId="166" fontId="12" fillId="0" borderId="72" xfId="0" applyNumberFormat="1" applyFont="1" applyBorder="1" applyAlignment="1">
      <alignment horizontal="center" vertical="center"/>
    </xf>
    <xf numFmtId="166" fontId="12" fillId="0" borderId="73" xfId="0" applyNumberFormat="1" applyFont="1" applyBorder="1" applyAlignment="1">
      <alignment horizontal="center" vertical="center"/>
    </xf>
    <xf numFmtId="166" fontId="12" fillId="0" borderId="50" xfId="0" applyNumberFormat="1" applyFont="1" applyBorder="1" applyAlignment="1">
      <alignment horizontal="center" vertical="center"/>
    </xf>
    <xf numFmtId="166" fontId="12" fillId="0" borderId="30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166" fontId="12" fillId="2" borderId="19" xfId="0" applyNumberFormat="1" applyFont="1" applyFill="1" applyBorder="1" applyAlignment="1" applyProtection="1">
      <alignment horizontal="center" vertical="center"/>
      <protection locked="0"/>
    </xf>
    <xf numFmtId="166" fontId="1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2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6" fillId="0" borderId="14" xfId="0" applyFont="1" applyBorder="1"/>
    <xf numFmtId="0" fontId="16" fillId="0" borderId="15" xfId="0" applyFont="1" applyBorder="1"/>
    <xf numFmtId="3" fontId="12" fillId="0" borderId="14" xfId="0" applyNumberFormat="1" applyFont="1" applyBorder="1" applyAlignment="1">
      <alignment horizontal="right" vertical="center" indent="1"/>
    </xf>
    <xf numFmtId="3" fontId="12" fillId="0" borderId="51" xfId="0" applyNumberFormat="1" applyFont="1" applyBorder="1" applyAlignment="1">
      <alignment horizontal="right" vertical="center" indent="1"/>
    </xf>
    <xf numFmtId="3" fontId="12" fillId="0" borderId="15" xfId="0" applyNumberFormat="1" applyFont="1" applyBorder="1" applyAlignment="1">
      <alignment horizontal="right" vertical="center" indent="1"/>
    </xf>
    <xf numFmtId="0" fontId="16" fillId="0" borderId="31" xfId="0" applyFont="1" applyBorder="1"/>
    <xf numFmtId="0" fontId="16" fillId="0" borderId="32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2" fontId="9" fillId="0" borderId="28" xfId="0" applyNumberFormat="1" applyFont="1" applyBorder="1" applyAlignment="1">
      <alignment horizontal="center" vertical="center" wrapText="1"/>
    </xf>
    <xf numFmtId="2" fontId="9" fillId="0" borderId="37" xfId="0" applyNumberFormat="1" applyFont="1" applyBorder="1" applyAlignment="1">
      <alignment horizontal="center" vertical="center" wrapText="1"/>
    </xf>
    <xf numFmtId="2" fontId="9" fillId="0" borderId="29" xfId="0" applyNumberFormat="1" applyFont="1" applyBorder="1" applyAlignment="1">
      <alignment horizontal="center" vertical="center" wrapText="1"/>
    </xf>
    <xf numFmtId="2" fontId="9" fillId="0" borderId="34" xfId="0" applyNumberFormat="1" applyFont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2" fontId="9" fillId="0" borderId="46" xfId="0" applyNumberFormat="1" applyFont="1" applyBorder="1" applyAlignment="1">
      <alignment horizontal="center" vertical="center" wrapText="1"/>
    </xf>
    <xf numFmtId="2" fontId="9" fillId="0" borderId="38" xfId="0" applyNumberFormat="1" applyFont="1" applyBorder="1" applyAlignment="1">
      <alignment horizontal="center" vertical="center" wrapText="1"/>
    </xf>
    <xf numFmtId="2" fontId="9" fillId="0" borderId="39" xfId="0" applyNumberFormat="1" applyFont="1" applyBorder="1" applyAlignment="1">
      <alignment horizontal="center" vertical="center" wrapText="1"/>
    </xf>
    <xf numFmtId="2" fontId="9" fillId="0" borderId="4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6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 indent="1"/>
    </xf>
    <xf numFmtId="3" fontId="12" fillId="0" borderId="24" xfId="0" applyNumberFormat="1" applyFont="1" applyBorder="1" applyAlignment="1">
      <alignment horizontal="right" vertical="center" indent="1"/>
    </xf>
    <xf numFmtId="0" fontId="16" fillId="0" borderId="16" xfId="0" applyFont="1" applyBorder="1"/>
    <xf numFmtId="0" fontId="16" fillId="0" borderId="17" xfId="0" applyFont="1" applyBorder="1"/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3" fontId="12" fillId="0" borderId="16" xfId="0" applyNumberFormat="1" applyFont="1" applyBorder="1" applyAlignment="1">
      <alignment horizontal="right" vertical="center" indent="1"/>
    </xf>
    <xf numFmtId="3" fontId="12" fillId="0" borderId="58" xfId="0" applyNumberFormat="1" applyFont="1" applyBorder="1" applyAlignment="1">
      <alignment horizontal="right" vertical="center" indent="1"/>
    </xf>
    <xf numFmtId="3" fontId="12" fillId="0" borderId="17" xfId="0" applyNumberFormat="1" applyFont="1" applyBorder="1" applyAlignment="1">
      <alignment horizontal="right" vertical="center" inden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/>
    </xf>
    <xf numFmtId="166" fontId="12" fillId="0" borderId="18" xfId="0" applyNumberFormat="1" applyFont="1" applyBorder="1" applyAlignment="1">
      <alignment horizontal="center" vertical="center"/>
    </xf>
    <xf numFmtId="166" fontId="12" fillId="0" borderId="10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5" fillId="0" borderId="3" xfId="0" applyFont="1" applyBorder="1"/>
    <xf numFmtId="3" fontId="12" fillId="0" borderId="19" xfId="0" applyNumberFormat="1" applyFont="1" applyBorder="1" applyAlignment="1">
      <alignment horizontal="right" vertical="center" indent="1"/>
    </xf>
    <xf numFmtId="3" fontId="12" fillId="0" borderId="11" xfId="0" applyNumberFormat="1" applyFont="1" applyBorder="1" applyAlignment="1">
      <alignment horizontal="right" vertical="center" indent="1"/>
    </xf>
    <xf numFmtId="2" fontId="12" fillId="0" borderId="19" xfId="0" applyNumberFormat="1" applyFont="1" applyBorder="1" applyAlignment="1">
      <alignment horizontal="right" vertical="center" indent="1"/>
    </xf>
    <xf numFmtId="2" fontId="12" fillId="0" borderId="11" xfId="0" applyNumberFormat="1" applyFont="1" applyBorder="1" applyAlignment="1">
      <alignment horizontal="right" vertical="center" indent="1"/>
    </xf>
    <xf numFmtId="3" fontId="12" fillId="0" borderId="31" xfId="0" applyNumberFormat="1" applyFont="1" applyBorder="1" applyAlignment="1">
      <alignment horizontal="right" vertical="center" indent="1"/>
    </xf>
    <xf numFmtId="3" fontId="12" fillId="0" borderId="57" xfId="0" applyNumberFormat="1" applyFont="1" applyBorder="1" applyAlignment="1">
      <alignment horizontal="right" vertical="center" indent="1"/>
    </xf>
    <xf numFmtId="3" fontId="12" fillId="0" borderId="32" xfId="0" applyNumberFormat="1" applyFont="1" applyBorder="1" applyAlignment="1">
      <alignment horizontal="right" vertical="center" indent="1"/>
    </xf>
    <xf numFmtId="3" fontId="12" fillId="0" borderId="8" xfId="0" applyNumberFormat="1" applyFont="1" applyBorder="1" applyAlignment="1">
      <alignment horizontal="right" vertical="center" indent="1"/>
    </xf>
    <xf numFmtId="3" fontId="12" fillId="0" borderId="25" xfId="0" applyNumberFormat="1" applyFont="1" applyBorder="1" applyAlignment="1">
      <alignment horizontal="right" vertical="center" indent="1"/>
    </xf>
    <xf numFmtId="3" fontId="12" fillId="0" borderId="7" xfId="0" applyNumberFormat="1" applyFont="1" applyBorder="1" applyAlignment="1">
      <alignment horizontal="right" vertical="center" indent="1"/>
    </xf>
    <xf numFmtId="3" fontId="12" fillId="0" borderId="9" xfId="0" applyNumberFormat="1" applyFont="1" applyBorder="1" applyAlignment="1">
      <alignment horizontal="right" vertical="center" indent="1"/>
    </xf>
    <xf numFmtId="3" fontId="12" fillId="0" borderId="27" xfId="0" applyNumberFormat="1" applyFont="1" applyBorder="1" applyAlignment="1">
      <alignment horizontal="right" vertical="center" indent="1"/>
    </xf>
    <xf numFmtId="3" fontId="12" fillId="0" borderId="21" xfId="0" applyNumberFormat="1" applyFont="1" applyBorder="1" applyAlignment="1">
      <alignment horizontal="right" vertical="center" indent="1"/>
    </xf>
    <xf numFmtId="0" fontId="9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3" fontId="12" fillId="0" borderId="20" xfId="0" applyNumberFormat="1" applyFont="1" applyBorder="1" applyAlignment="1">
      <alignment horizontal="right" vertical="center" indent="1"/>
    </xf>
    <xf numFmtId="0" fontId="9" fillId="0" borderId="41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wrapText="1"/>
    </xf>
    <xf numFmtId="0" fontId="7" fillId="3" borderId="51" xfId="0" applyFont="1" applyFill="1" applyBorder="1" applyAlignment="1">
      <alignment horizontal="center" wrapText="1"/>
    </xf>
    <xf numFmtId="0" fontId="7" fillId="3" borderId="30" xfId="0" applyFont="1" applyFill="1" applyBorder="1" applyAlignment="1">
      <alignment horizontal="center" wrapText="1"/>
    </xf>
  </cellXfs>
  <cellStyles count="2">
    <cellStyle name="Normální" xfId="0" builtinId="0"/>
    <cellStyle name="Normální 2" xfId="1" xr:uid="{00000000-0005-0000-0000-000001000000}"/>
  </cellStyles>
  <dxfs count="48">
    <dxf>
      <font>
        <b/>
        <i val="0"/>
      </font>
      <fill>
        <patternFill patternType="gray0625"/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</font>
      <fill>
        <patternFill patternType="gray0625"/>
      </fill>
    </dxf>
    <dxf>
      <font>
        <b/>
        <i val="0"/>
      </font>
      <fill>
        <patternFill patternType="gray0625"/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</font>
      <fill>
        <patternFill patternType="gray0625"/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</font>
      <fill>
        <patternFill patternType="gray0625"/>
      </fill>
    </dxf>
    <dxf>
      <font>
        <b/>
        <i val="0"/>
      </font>
      <fill>
        <patternFill patternType="gray0625"/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</font>
      <fill>
        <patternFill patternType="gray0625"/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</font>
      <fill>
        <patternFill patternType="gray0625"/>
      </fill>
    </dxf>
    <dxf>
      <font>
        <b/>
        <i val="0"/>
      </font>
      <fill>
        <patternFill patternType="gray0625"/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</font>
      <fill>
        <patternFill patternType="gray0625"/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</font>
      <fill>
        <patternFill patternType="gray0625"/>
      </fill>
    </dxf>
    <dxf>
      <font>
        <b/>
        <i val="0"/>
      </font>
      <fill>
        <patternFill patternType="gray0625"/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</font>
      <fill>
        <patternFill patternType="gray0625"/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</font>
      <fill>
        <patternFill patternType="gray0625"/>
      </fill>
    </dxf>
    <dxf>
      <font>
        <b/>
        <i val="0"/>
      </font>
      <fill>
        <patternFill patternType="gray0625"/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</font>
      <fill>
        <patternFill patternType="gray0625"/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  <color auto="1"/>
      </font>
      <fill>
        <patternFill patternType="gray0625">
          <bgColor auto="1"/>
        </patternFill>
      </fill>
    </dxf>
    <dxf>
      <font>
        <b/>
        <i val="0"/>
      </font>
      <fill>
        <patternFill patternType="gray0625"/>
      </fill>
    </dxf>
    <dxf>
      <font>
        <b/>
        <i val="0"/>
      </font>
      <fill>
        <patternFill patternType="gray0625"/>
      </fill>
    </dxf>
    <dxf>
      <font>
        <b/>
        <i val="0"/>
        <color auto="1"/>
      </font>
      <fill>
        <patternFill patternType="gray0625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13</xdr:row>
          <xdr:rowOff>9525</xdr:rowOff>
        </xdr:from>
        <xdr:to>
          <xdr:col>16</xdr:col>
          <xdr:colOff>2133600</xdr:colOff>
          <xdr:row>14</xdr:row>
          <xdr:rowOff>685800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cs-CZ" sz="1400" b="1" i="0" u="none" strike="noStrike" baseline="0">
                  <a:solidFill>
                    <a:srgbClr val="0000FF"/>
                  </a:solidFill>
                  <a:latin typeface="Calibri"/>
                  <a:ea typeface="Calibri"/>
                  <a:cs typeface="Calibri"/>
                </a:rPr>
                <a:t>Tlačítko: VYNULOVÁNÍ</a:t>
              </a:r>
            </a:p>
            <a:p>
              <a:pPr algn="ctr" rtl="0">
                <a:defRPr sz="1000"/>
              </a:pPr>
              <a:r>
                <a:rPr lang="cs-CZ" sz="1400" b="1" i="0" u="none" strike="noStrike" baseline="0">
                  <a:solidFill>
                    <a:srgbClr val="0000FF"/>
                  </a:solidFill>
                  <a:latin typeface="Calibri"/>
                  <a:ea typeface="Calibri"/>
                  <a:cs typeface="Calibri"/>
                </a:rPr>
                <a:t> (stav bez nově vydané OZV)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13</xdr:row>
          <xdr:rowOff>9525</xdr:rowOff>
        </xdr:from>
        <xdr:to>
          <xdr:col>16</xdr:col>
          <xdr:colOff>2133600</xdr:colOff>
          <xdr:row>14</xdr:row>
          <xdr:rowOff>685800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1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cs-CZ" sz="1400" b="1" i="0" u="none" strike="noStrike" baseline="0">
                  <a:solidFill>
                    <a:srgbClr val="0000FF"/>
                  </a:solidFill>
                  <a:latin typeface="Calibri"/>
                  <a:ea typeface="Calibri"/>
                  <a:cs typeface="Calibri"/>
                </a:rPr>
                <a:t>Tlačítko: VYNULOVÁNÍ</a:t>
              </a:r>
            </a:p>
            <a:p>
              <a:pPr algn="ctr" rtl="0">
                <a:defRPr sz="1000"/>
              </a:pPr>
              <a:r>
                <a:rPr lang="cs-CZ" sz="1400" b="1" i="0" u="none" strike="noStrike" baseline="0">
                  <a:solidFill>
                    <a:srgbClr val="0000FF"/>
                  </a:solidFill>
                  <a:latin typeface="Calibri"/>
                  <a:ea typeface="Calibri"/>
                  <a:cs typeface="Calibri"/>
                </a:rPr>
                <a:t> (stav bez nově vydané OZV)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13</xdr:row>
          <xdr:rowOff>9525</xdr:rowOff>
        </xdr:from>
        <xdr:to>
          <xdr:col>16</xdr:col>
          <xdr:colOff>2133600</xdr:colOff>
          <xdr:row>14</xdr:row>
          <xdr:rowOff>685800</xdr:rowOff>
        </xdr:to>
        <xdr:sp macro="" textlink="">
          <xdr:nvSpPr>
            <xdr:cNvPr id="28673" name="Button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2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cs-CZ" sz="1400" b="1" i="0" u="none" strike="noStrike" baseline="0">
                  <a:solidFill>
                    <a:srgbClr val="0000FF"/>
                  </a:solidFill>
                  <a:latin typeface="Calibri"/>
                  <a:ea typeface="Calibri"/>
                  <a:cs typeface="Calibri"/>
                </a:rPr>
                <a:t>Tlačítko: VYNULOVÁNÍ</a:t>
              </a:r>
            </a:p>
            <a:p>
              <a:pPr algn="ctr" rtl="0">
                <a:defRPr sz="1000"/>
              </a:pPr>
              <a:r>
                <a:rPr lang="cs-CZ" sz="1400" b="1" i="0" u="none" strike="noStrike" baseline="0">
                  <a:solidFill>
                    <a:srgbClr val="0000FF"/>
                  </a:solidFill>
                  <a:latin typeface="Calibri"/>
                  <a:ea typeface="Calibri"/>
                  <a:cs typeface="Calibri"/>
                </a:rPr>
                <a:t> (stav bez nově vydané OZV)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13</xdr:row>
          <xdr:rowOff>9525</xdr:rowOff>
        </xdr:from>
        <xdr:to>
          <xdr:col>16</xdr:col>
          <xdr:colOff>2133600</xdr:colOff>
          <xdr:row>14</xdr:row>
          <xdr:rowOff>685800</xdr:rowOff>
        </xdr:to>
        <xdr:sp macro="" textlink="">
          <xdr:nvSpPr>
            <xdr:cNvPr id="29697" name="Button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3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cs-CZ" sz="1400" b="1" i="0" u="none" strike="noStrike" baseline="0">
                  <a:solidFill>
                    <a:srgbClr val="0000FF"/>
                  </a:solidFill>
                  <a:latin typeface="Calibri"/>
                  <a:ea typeface="Calibri"/>
                  <a:cs typeface="Calibri"/>
                </a:rPr>
                <a:t>Tlačítko: VYNULOVÁNÍ</a:t>
              </a:r>
            </a:p>
            <a:p>
              <a:pPr algn="ctr" rtl="0">
                <a:defRPr sz="1000"/>
              </a:pPr>
              <a:r>
                <a:rPr lang="cs-CZ" sz="1400" b="1" i="0" u="none" strike="noStrike" baseline="0">
                  <a:solidFill>
                    <a:srgbClr val="0000FF"/>
                  </a:solidFill>
                  <a:latin typeface="Calibri"/>
                  <a:ea typeface="Calibri"/>
                  <a:cs typeface="Calibri"/>
                </a:rPr>
                <a:t> (stav bez nově vydané OZV)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13</xdr:row>
          <xdr:rowOff>9525</xdr:rowOff>
        </xdr:from>
        <xdr:to>
          <xdr:col>16</xdr:col>
          <xdr:colOff>2133600</xdr:colOff>
          <xdr:row>14</xdr:row>
          <xdr:rowOff>685800</xdr:rowOff>
        </xdr:to>
        <xdr:sp macro="" textlink="">
          <xdr:nvSpPr>
            <xdr:cNvPr id="30721" name="Button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4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cs-CZ" sz="1400" b="1" i="0" u="none" strike="noStrike" baseline="0">
                  <a:solidFill>
                    <a:srgbClr val="0000FF"/>
                  </a:solidFill>
                  <a:latin typeface="Calibri"/>
                  <a:ea typeface="Calibri"/>
                  <a:cs typeface="Calibri"/>
                </a:rPr>
                <a:t>Tlačítko: VYNULOVÁNÍ</a:t>
              </a:r>
            </a:p>
            <a:p>
              <a:pPr algn="ctr" rtl="0">
                <a:defRPr sz="1000"/>
              </a:pPr>
              <a:r>
                <a:rPr lang="cs-CZ" sz="1400" b="1" i="0" u="none" strike="noStrike" baseline="0">
                  <a:solidFill>
                    <a:srgbClr val="0000FF"/>
                  </a:solidFill>
                  <a:latin typeface="Calibri"/>
                  <a:ea typeface="Calibri"/>
                  <a:cs typeface="Calibri"/>
                </a:rPr>
                <a:t> (stav bez nově vydané OZV)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13</xdr:row>
          <xdr:rowOff>9525</xdr:rowOff>
        </xdr:from>
        <xdr:to>
          <xdr:col>16</xdr:col>
          <xdr:colOff>2133600</xdr:colOff>
          <xdr:row>14</xdr:row>
          <xdr:rowOff>685800</xdr:rowOff>
        </xdr:to>
        <xdr:sp macro="" textlink="">
          <xdr:nvSpPr>
            <xdr:cNvPr id="31745" name="Button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5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cs-CZ" sz="1400" b="1" i="0" u="none" strike="noStrike" baseline="0">
                  <a:solidFill>
                    <a:srgbClr val="0000FF"/>
                  </a:solidFill>
                  <a:latin typeface="Calibri"/>
                  <a:ea typeface="Calibri"/>
                  <a:cs typeface="Calibri"/>
                </a:rPr>
                <a:t>Tlačítko: VYNULOVÁNÍ</a:t>
              </a:r>
            </a:p>
            <a:p>
              <a:pPr algn="ctr" rtl="0">
                <a:defRPr sz="1000"/>
              </a:pPr>
              <a:r>
                <a:rPr lang="cs-CZ" sz="1400" b="1" i="0" u="none" strike="noStrike" baseline="0">
                  <a:solidFill>
                    <a:srgbClr val="0000FF"/>
                  </a:solidFill>
                  <a:latin typeface="Calibri"/>
                  <a:ea typeface="Calibri"/>
                  <a:cs typeface="Calibri"/>
                </a:rPr>
                <a:t> (stav bez nově vydané OZV)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0</xdr:rowOff>
    </xdr:from>
    <xdr:to>
      <xdr:col>9</xdr:col>
      <xdr:colOff>132637</xdr:colOff>
      <xdr:row>40</xdr:row>
      <xdr:rowOff>65714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05"/>
        <a:stretch/>
      </xdr:blipFill>
      <xdr:spPr>
        <a:xfrm>
          <a:off x="9524" y="0"/>
          <a:ext cx="5609513" cy="76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39</xdr:row>
      <xdr:rowOff>161925</xdr:rowOff>
    </xdr:from>
    <xdr:to>
      <xdr:col>9</xdr:col>
      <xdr:colOff>75506</xdr:colOff>
      <xdr:row>79</xdr:row>
      <xdr:rowOff>170496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7591425"/>
          <a:ext cx="5552381" cy="76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79</xdr:row>
      <xdr:rowOff>161925</xdr:rowOff>
    </xdr:from>
    <xdr:to>
      <xdr:col>9</xdr:col>
      <xdr:colOff>113615</xdr:colOff>
      <xdr:row>111</xdr:row>
      <xdr:rowOff>84973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825" y="15211425"/>
          <a:ext cx="5476190" cy="60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AA57"/>
  <sheetViews>
    <sheetView tabSelected="1" topLeftCell="A9" zoomScale="80" zoomScaleNormal="80" workbookViewId="0">
      <selection activeCell="L30" sqref="L30:L31"/>
    </sheetView>
  </sheetViews>
  <sheetFormatPr defaultRowHeight="15" x14ac:dyDescent="0.25"/>
  <cols>
    <col min="1" max="1" width="55.7109375" customWidth="1"/>
    <col min="2" max="2" width="17.28515625" customWidth="1"/>
    <col min="3" max="3" width="1.7109375" customWidth="1"/>
    <col min="4" max="6" width="10.7109375" customWidth="1"/>
    <col min="7" max="7" width="20" customWidth="1"/>
    <col min="8" max="8" width="1.7109375" customWidth="1"/>
    <col min="9" max="9" width="10.7109375" customWidth="1"/>
    <col min="10" max="10" width="13.7109375" customWidth="1"/>
    <col min="11" max="11" width="13.85546875" customWidth="1"/>
    <col min="12" max="12" width="13.42578125" customWidth="1"/>
    <col min="13" max="13" width="1.5703125" customWidth="1"/>
    <col min="14" max="14" width="24.28515625" customWidth="1"/>
    <col min="15" max="15" width="22.85546875" customWidth="1"/>
    <col min="16" max="16" width="3.5703125" customWidth="1"/>
    <col min="17" max="17" width="62.140625" customWidth="1"/>
  </cols>
  <sheetData>
    <row r="1" spans="1:24" ht="23.25" x14ac:dyDescent="0.25">
      <c r="A1" s="188" t="s">
        <v>14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3" spans="1:24" ht="18.75" x14ac:dyDescent="0.25">
      <c r="A3" s="189" t="s">
        <v>0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</row>
    <row r="4" spans="1:24" ht="15.75" thickBot="1" x14ac:dyDescent="0.3">
      <c r="R4" s="96"/>
      <c r="S4" s="96"/>
      <c r="T4" s="96"/>
      <c r="U4" s="96"/>
    </row>
    <row r="5" spans="1:24" ht="16.5" thickBot="1" x14ac:dyDescent="0.3">
      <c r="A5" s="71" t="s">
        <v>1</v>
      </c>
      <c r="B5" s="190" t="s">
        <v>108</v>
      </c>
      <c r="C5" s="191"/>
      <c r="D5" s="191"/>
      <c r="E5" s="191"/>
      <c r="F5" s="191"/>
      <c r="G5" s="192"/>
      <c r="H5" s="40"/>
      <c r="I5" s="40"/>
      <c r="J5" s="40"/>
      <c r="K5" s="40"/>
      <c r="L5" s="40"/>
      <c r="M5" s="40"/>
      <c r="N5" s="71" t="s">
        <v>3</v>
      </c>
      <c r="O5" s="72">
        <f>VLOOKUP(B5,'OBCE, počet obyvatel'!C3:D1591,2,FALSE)</f>
        <v>5095</v>
      </c>
      <c r="R5" s="96"/>
      <c r="S5" s="96"/>
      <c r="T5" s="96"/>
      <c r="U5" s="96"/>
    </row>
    <row r="6" spans="1:24" ht="5.0999999999999996" customHeight="1" thickBot="1" x14ac:dyDescent="0.3">
      <c r="A6" s="71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73"/>
      <c r="O6" s="74"/>
      <c r="R6" s="96"/>
      <c r="S6" s="96"/>
      <c r="T6" s="96"/>
      <c r="U6" s="96"/>
    </row>
    <row r="7" spans="1:24" ht="16.5" thickBot="1" x14ac:dyDescent="0.3">
      <c r="A7" s="71" t="s">
        <v>2</v>
      </c>
      <c r="B7" s="218" t="s">
        <v>110</v>
      </c>
      <c r="C7" s="219"/>
      <c r="D7" s="219"/>
      <c r="E7" s="219"/>
      <c r="F7" s="219"/>
      <c r="G7" s="220"/>
      <c r="H7" s="40"/>
      <c r="I7" s="40"/>
      <c r="J7" s="99" t="str">
        <f>IF(OR(ISBLANK($J$16),$J$16="žádný"),0,$J$16)</f>
        <v>2</v>
      </c>
      <c r="K7" s="99">
        <f>IF(OR(ISBLANK($K$16),$K$16="žádný"),0,$K$16)</f>
        <v>0</v>
      </c>
      <c r="L7" s="40"/>
      <c r="M7" s="40"/>
      <c r="N7" s="73"/>
      <c r="O7" s="40"/>
      <c r="R7" s="96"/>
      <c r="S7" s="37"/>
      <c r="T7" s="37"/>
      <c r="U7" s="37"/>
      <c r="V7" s="37"/>
      <c r="W7" s="37"/>
      <c r="X7" s="37"/>
    </row>
    <row r="8" spans="1:24" x14ac:dyDescent="0.25">
      <c r="R8" s="96"/>
      <c r="S8" s="37"/>
      <c r="T8" s="37"/>
      <c r="U8" s="37"/>
      <c r="V8" s="37"/>
      <c r="W8" s="37"/>
      <c r="X8" s="37"/>
    </row>
    <row r="9" spans="1:24" ht="18.75" x14ac:dyDescent="0.25">
      <c r="A9" s="189" t="s">
        <v>82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R9" s="96"/>
      <c r="S9" s="37"/>
      <c r="T9" s="37"/>
      <c r="U9" s="37"/>
      <c r="V9" s="37"/>
      <c r="W9" s="37"/>
      <c r="X9" s="37"/>
    </row>
    <row r="10" spans="1:24" ht="5.0999999999999996" customHeight="1" thickBot="1" x14ac:dyDescent="0.3">
      <c r="R10" s="96"/>
      <c r="S10" s="37"/>
      <c r="T10" s="37"/>
      <c r="U10" s="37"/>
      <c r="V10" s="37"/>
      <c r="W10" s="37"/>
      <c r="X10" s="37"/>
    </row>
    <row r="11" spans="1:24" ht="26.25" customHeight="1" x14ac:dyDescent="0.25">
      <c r="A11" s="203" t="s">
        <v>81</v>
      </c>
      <c r="B11" s="206" t="s">
        <v>87</v>
      </c>
      <c r="D11" s="209" t="str">
        <f>Koef!B3</f>
        <v>Zdaňovací období roku 2024</v>
      </c>
      <c r="E11" s="210"/>
      <c r="F11" s="210"/>
      <c r="G11" s="211"/>
      <c r="I11" s="200" t="s">
        <v>77</v>
      </c>
      <c r="J11" s="201"/>
      <c r="K11" s="201"/>
      <c r="L11" s="201"/>
      <c r="M11" s="201"/>
      <c r="N11" s="201"/>
      <c r="O11" s="202"/>
      <c r="R11" s="96"/>
      <c r="S11" s="37"/>
      <c r="T11" s="37"/>
      <c r="U11" s="37"/>
      <c r="V11" s="37"/>
      <c r="W11" s="37"/>
      <c r="X11" s="37"/>
    </row>
    <row r="12" spans="1:24" ht="26.25" customHeight="1" thickBot="1" x14ac:dyDescent="0.3">
      <c r="A12" s="204"/>
      <c r="B12" s="207"/>
      <c r="D12" s="212"/>
      <c r="E12" s="213"/>
      <c r="F12" s="213"/>
      <c r="G12" s="214"/>
      <c r="I12" s="197" t="s">
        <v>72</v>
      </c>
      <c r="J12" s="198"/>
      <c r="K12" s="198"/>
      <c r="L12" s="198"/>
      <c r="M12" s="198"/>
      <c r="N12" s="198"/>
      <c r="O12" s="199"/>
      <c r="R12" s="96"/>
      <c r="S12" s="37"/>
      <c r="T12" s="37"/>
      <c r="U12" s="37"/>
      <c r="V12" s="37"/>
      <c r="W12" s="37"/>
      <c r="X12" s="37"/>
    </row>
    <row r="13" spans="1:24" ht="26.25" customHeight="1" x14ac:dyDescent="0.25">
      <c r="A13" s="204"/>
      <c r="B13" s="207"/>
      <c r="D13" s="212"/>
      <c r="E13" s="213"/>
      <c r="F13" s="213"/>
      <c r="G13" s="214"/>
      <c r="I13" s="177" t="s">
        <v>85</v>
      </c>
      <c r="J13" s="178"/>
      <c r="K13" s="178"/>
      <c r="L13" s="70">
        <v>1</v>
      </c>
      <c r="M13" s="174"/>
      <c r="N13" s="177" t="s">
        <v>4</v>
      </c>
      <c r="O13" s="206" t="s">
        <v>17</v>
      </c>
      <c r="R13" s="96" t="str">
        <f>IF(ISBLANK(R11),"",R11)</f>
        <v/>
      </c>
      <c r="S13" s="37"/>
      <c r="T13" s="37"/>
      <c r="U13" s="37"/>
      <c r="V13" s="37"/>
      <c r="W13" s="37"/>
      <c r="X13" s="37"/>
    </row>
    <row r="14" spans="1:24" ht="26.25" customHeight="1" thickBot="1" x14ac:dyDescent="0.3">
      <c r="A14" s="204"/>
      <c r="B14" s="207"/>
      <c r="D14" s="215"/>
      <c r="E14" s="216"/>
      <c r="F14" s="216"/>
      <c r="G14" s="217"/>
      <c r="I14" s="194" t="s">
        <v>84</v>
      </c>
      <c r="J14" s="195"/>
      <c r="K14" s="195"/>
      <c r="L14" s="196"/>
      <c r="M14" s="175"/>
      <c r="N14" s="194"/>
      <c r="O14" s="196"/>
      <c r="R14" s="37"/>
      <c r="S14" s="37"/>
      <c r="T14" s="37"/>
      <c r="U14" s="37"/>
      <c r="V14" s="37"/>
      <c r="W14" s="37"/>
      <c r="X14" s="37"/>
    </row>
    <row r="15" spans="1:24" ht="58.5" customHeight="1" thickTop="1" x14ac:dyDescent="0.25">
      <c r="A15" s="204"/>
      <c r="B15" s="207"/>
      <c r="D15" s="238" t="s">
        <v>69</v>
      </c>
      <c r="E15" s="239"/>
      <c r="F15" s="240"/>
      <c r="G15" s="241" t="s">
        <v>4</v>
      </c>
      <c r="I15" s="221" t="s">
        <v>80</v>
      </c>
      <c r="J15" s="87" t="s">
        <v>96</v>
      </c>
      <c r="K15" s="88" t="s">
        <v>78</v>
      </c>
      <c r="L15" s="170" t="s">
        <v>79</v>
      </c>
      <c r="M15" s="175"/>
      <c r="N15" s="194"/>
      <c r="O15" s="196"/>
      <c r="R15" s="37"/>
      <c r="S15" s="37"/>
      <c r="T15" s="37"/>
      <c r="U15" s="37"/>
      <c r="V15" s="37"/>
      <c r="W15" s="37"/>
      <c r="X15" s="37"/>
    </row>
    <row r="16" spans="1:24" ht="45" customHeight="1" thickBot="1" x14ac:dyDescent="0.3">
      <c r="A16" s="205"/>
      <c r="B16" s="208"/>
      <c r="D16" s="80" t="s">
        <v>80</v>
      </c>
      <c r="E16" s="89">
        <v>1.5</v>
      </c>
      <c r="F16" s="90" t="s">
        <v>96</v>
      </c>
      <c r="G16" s="242"/>
      <c r="I16" s="222"/>
      <c r="J16" s="118" t="s">
        <v>124</v>
      </c>
      <c r="K16" s="119" t="s">
        <v>97</v>
      </c>
      <c r="L16" s="171"/>
      <c r="M16" s="175"/>
      <c r="N16" s="179"/>
      <c r="O16" s="223"/>
      <c r="P16" s="95" t="str">
        <f>IF(HELP!AF4="ANO","","!!!")</f>
        <v/>
      </c>
      <c r="Q16" s="94" t="str">
        <f>IF(HELP!AF4="ANO","","POZOR! Koeficient pro OBEC musí být na všech KÚ shodný!")</f>
        <v/>
      </c>
      <c r="R16" s="96"/>
      <c r="S16" s="96"/>
      <c r="T16" s="117" t="str">
        <f>IF(VLOOKUP($B$7,Všechny_obce_koeficienty!$D$2:$U$1045,18,FALSE)="",1,VLOOKUP($B$7,Všechny_obce_koeficienty!$D$2:$U$1045,18,FALSE))</f>
        <v>2</v>
      </c>
      <c r="U16" s="96" t="s">
        <v>97</v>
      </c>
      <c r="V16" s="37"/>
      <c r="W16" s="37"/>
      <c r="X16" s="37"/>
    </row>
    <row r="17" spans="1:27" ht="15" customHeight="1" thickTop="1" x14ac:dyDescent="0.25">
      <c r="A17" s="36" t="s">
        <v>6</v>
      </c>
      <c r="B17" s="39">
        <f>VLOOKUP(B7,Všechny_obce_koeficienty!D2:U6,2,FALSE)*0.0135</f>
        <v>6.3450000000000006E-2</v>
      </c>
      <c r="C17" s="40"/>
      <c r="D17" s="41" t="s">
        <v>16</v>
      </c>
      <c r="E17" s="42" t="s">
        <v>16</v>
      </c>
      <c r="F17" s="43">
        <v>1</v>
      </c>
      <c r="G17" s="128">
        <f>VLOOKUP($B$7,Obce_vynos!B3:AB1045,2,FALSE)</f>
        <v>53155</v>
      </c>
      <c r="H17" s="40"/>
      <c r="I17" s="41" t="s">
        <v>16</v>
      </c>
      <c r="J17" s="166">
        <v>1</v>
      </c>
      <c r="K17" s="167"/>
      <c r="L17" s="121"/>
      <c r="M17" s="176"/>
      <c r="N17" s="106">
        <f>IF(L17="",G17/F17*J17,G17/F17*L17)</f>
        <v>53155</v>
      </c>
      <c r="O17" s="107">
        <f t="shared" ref="O17:O26" si="0">N17-G17</f>
        <v>0</v>
      </c>
      <c r="P17" s="95" t="str">
        <f>IF(HELP!AF7="ANO","","!!!")</f>
        <v/>
      </c>
      <c r="Q17" s="94" t="str">
        <f>IF(HELP!AF7="ANO","","POZOR! Koeficient pro skupinu NV musí být na všech KÚ shodný!")</f>
        <v/>
      </c>
      <c r="R17" s="136"/>
      <c r="S17" s="136"/>
      <c r="T17" s="96"/>
      <c r="U17" s="96"/>
      <c r="V17" s="37"/>
      <c r="W17" s="37"/>
      <c r="X17" s="37"/>
    </row>
    <row r="18" spans="1:27" ht="15" customHeight="1" x14ac:dyDescent="0.25">
      <c r="A18" s="5" t="s">
        <v>5</v>
      </c>
      <c r="B18" s="44">
        <f>VLOOKUP(B7,Všechny_obce_koeficienty!D2:U6,2,FALSE)*0.0045</f>
        <v>2.1149999999999999E-2</v>
      </c>
      <c r="C18" s="40"/>
      <c r="D18" s="129" t="s">
        <v>16</v>
      </c>
      <c r="E18" s="45" t="s">
        <v>16</v>
      </c>
      <c r="F18" s="131">
        <v>1</v>
      </c>
      <c r="G18" s="126">
        <f>VLOOKUP($B$7,Obce_vynos!B3:AB1045,3,FALSE)</f>
        <v>34440</v>
      </c>
      <c r="H18" s="40"/>
      <c r="I18" s="129" t="s">
        <v>16</v>
      </c>
      <c r="J18" s="168">
        <v>1</v>
      </c>
      <c r="K18" s="169"/>
      <c r="L18" s="122"/>
      <c r="M18" s="176"/>
      <c r="N18" s="108">
        <f>IF(L18="",G18/F18*J18,G18/F18*L18)</f>
        <v>34440</v>
      </c>
      <c r="O18" s="133">
        <f t="shared" si="0"/>
        <v>0</v>
      </c>
      <c r="P18" s="95" t="str">
        <f>IF(HELP!AF10="ANO","","!!!")</f>
        <v/>
      </c>
      <c r="Q18" s="94" t="str">
        <f>IF(HELP!AF10="ANO","","POZOR! Koeficient pro skupinu NV musí být na všech KÚ shodný!")</f>
        <v/>
      </c>
      <c r="R18" s="96"/>
      <c r="S18" s="96"/>
      <c r="T18" s="96"/>
      <c r="U18" s="96"/>
      <c r="V18" s="37"/>
      <c r="W18" s="37"/>
      <c r="X18" s="37"/>
    </row>
    <row r="19" spans="1:27" ht="15" customHeight="1" x14ac:dyDescent="0.25">
      <c r="A19" s="5" t="s">
        <v>68</v>
      </c>
      <c r="B19" s="46">
        <v>0.08</v>
      </c>
      <c r="C19" s="40"/>
      <c r="D19" s="129" t="s">
        <v>16</v>
      </c>
      <c r="E19" s="45" t="s">
        <v>16</v>
      </c>
      <c r="F19" s="131">
        <v>1</v>
      </c>
      <c r="G19" s="126">
        <f>VLOOKUP($B$7,Obce_vynos!B3:AB1045,23,FALSE)</f>
        <v>3281</v>
      </c>
      <c r="H19" s="40"/>
      <c r="I19" s="129" t="s">
        <v>16</v>
      </c>
      <c r="J19" s="168">
        <v>1</v>
      </c>
      <c r="K19" s="169"/>
      <c r="L19" s="122"/>
      <c r="M19" s="176"/>
      <c r="N19" s="108">
        <f>IF(L19="",G19/F19*J19,G19/F19*L19)</f>
        <v>3281</v>
      </c>
      <c r="O19" s="133">
        <f t="shared" si="0"/>
        <v>0</v>
      </c>
      <c r="P19" s="95" t="str">
        <f>IF(HELP!AF13="ANO","","!!!")</f>
        <v/>
      </c>
      <c r="Q19" s="94" t="str">
        <f>IF(HELP!AF13="ANO","","POZOR! Koeficient pro skupinu NV musí být na všech KÚ shodný!")</f>
        <v/>
      </c>
      <c r="R19" s="96"/>
      <c r="S19" s="96"/>
      <c r="T19" s="96"/>
      <c r="U19" s="96"/>
      <c r="V19" s="37"/>
      <c r="W19" s="37"/>
      <c r="X19" s="37"/>
    </row>
    <row r="20" spans="1:27" ht="15" customHeight="1" x14ac:dyDescent="0.25">
      <c r="A20" s="5" t="s">
        <v>7</v>
      </c>
      <c r="B20" s="47">
        <f>3.8*0.0045</f>
        <v>1.7099999999999997E-2</v>
      </c>
      <c r="C20" s="40"/>
      <c r="D20" s="48" t="s">
        <v>16</v>
      </c>
      <c r="E20" s="45" t="s">
        <v>16</v>
      </c>
      <c r="F20" s="131" t="str">
        <f>IF(VLOOKUP($B$7,Všechny_obce_koeficienty!$D$2:$U$1045,18,FALSE)="","1,0",VLOOKUP($B$7,Všechny_obce_koeficienty!$D$2:$U$1045,18,FALSE))</f>
        <v>2</v>
      </c>
      <c r="G20" s="126">
        <f>VLOOKUP($B$7,Obce_vynos!B3:AB1045,4,FALSE)</f>
        <v>2534</v>
      </c>
      <c r="H20" s="40"/>
      <c r="I20" s="129" t="s">
        <v>16</v>
      </c>
      <c r="J20" s="131" t="str">
        <f>IF(OR(ISBLANK($J$16),$J$16="žádný"),"",$J$16)</f>
        <v>2</v>
      </c>
      <c r="K20" s="131" t="str">
        <f>IF(OR(ISBLANK($K$16),$K$16="žádný"),"",$K$16)</f>
        <v/>
      </c>
      <c r="L20" s="123"/>
      <c r="M20" s="176"/>
      <c r="N20" s="108">
        <f>IF(R20=0,G20/F20,G20/F20*R20)*$L$13</f>
        <v>2534</v>
      </c>
      <c r="O20" s="133">
        <f t="shared" si="0"/>
        <v>0</v>
      </c>
      <c r="P20" s="95" t="str">
        <f>IF(HELP!AF16="ANO","","!!!")</f>
        <v/>
      </c>
      <c r="Q20" s="94" t="str">
        <f>IF(HELP!AF16="ANO","","POZOR! Koeficient pro skupinu NV musí být na všech KÚ shodný!")</f>
        <v/>
      </c>
      <c r="R20" s="135" t="str">
        <f>IF(IF(L20&gt;=$K$7,L20,IF(L20="",$K$7,IF($K$7="",$J$7,$K$7)))=0,$J$7,IF(L20&gt;=$K$7,L20,IF(L20="",$K$7,IF($K$7="",$J$7,$K$7))))</f>
        <v>2</v>
      </c>
      <c r="S20" s="96"/>
      <c r="T20" s="96"/>
      <c r="U20" s="96"/>
      <c r="V20" s="37"/>
      <c r="W20" s="37"/>
      <c r="X20" s="37"/>
    </row>
    <row r="21" spans="1:27" ht="15" customHeight="1" x14ac:dyDescent="0.25">
      <c r="A21" s="5" t="s">
        <v>8</v>
      </c>
      <c r="B21" s="46">
        <v>0.35</v>
      </c>
      <c r="C21" s="40"/>
      <c r="D21" s="48" t="s">
        <v>16</v>
      </c>
      <c r="E21" s="45" t="s">
        <v>16</v>
      </c>
      <c r="F21" s="131" t="str">
        <f>IF(VLOOKUP($B$7,Všechny_obce_koeficienty!$D$2:$U$1045,18,FALSE)="","1,0",VLOOKUP($B$7,Všechny_obce_koeficienty!$D$2:$U$1045,18,FALSE))</f>
        <v>2</v>
      </c>
      <c r="G21" s="126">
        <f>VLOOKUP($B$7,Obce_vynos!B3:AB1045,5,FALSE)</f>
        <v>23857</v>
      </c>
      <c r="H21" s="40"/>
      <c r="I21" s="129" t="s">
        <v>16</v>
      </c>
      <c r="J21" s="131" t="str">
        <f t="shared" ref="J21:J40" si="1">IF(OR(ISBLANK($J$16),$J$16="žádný"),"",$J$16)</f>
        <v>2</v>
      </c>
      <c r="K21" s="131" t="str">
        <f t="shared" ref="K21:K40" si="2">IF(OR(ISBLANK($K$16),$K$16="žádný"),"",$K$16)</f>
        <v/>
      </c>
      <c r="L21" s="134"/>
      <c r="M21" s="176"/>
      <c r="N21" s="108">
        <f>IF(R21=0,G21/F21,G21/F21*R21)*$L$13</f>
        <v>23857</v>
      </c>
      <c r="O21" s="133">
        <f t="shared" si="0"/>
        <v>0</v>
      </c>
      <c r="P21" s="95" t="str">
        <f>IF(HELP!AF19="ANO","","!!!")</f>
        <v/>
      </c>
      <c r="Q21" s="94" t="str">
        <f>IF(HELP!AF19="ANO","","POZOR! Koeficient pro skupinu NV musí být na všech KÚ shodný!")</f>
        <v/>
      </c>
      <c r="R21" s="135" t="str">
        <f t="shared" ref="R21:R40" si="3">IF(IF(L21&gt;=$K$7,L21,IF(L21="",$K$7,IF($K$7="",$J$7,$K$7)))=0,$J$7,IF(L21&gt;=$K$7,L21,IF(L21="",$K$7,IF($K$7="",$J$7,$K$7))))</f>
        <v>2</v>
      </c>
      <c r="S21" s="96"/>
      <c r="T21" s="96"/>
      <c r="U21" s="96"/>
      <c r="V21" s="37"/>
      <c r="W21" s="37"/>
      <c r="X21" s="37"/>
    </row>
    <row r="22" spans="1:27" ht="15" customHeight="1" x14ac:dyDescent="0.25">
      <c r="A22" s="5" t="s">
        <v>9</v>
      </c>
      <c r="B22" s="46">
        <v>3.5</v>
      </c>
      <c r="C22" s="40"/>
      <c r="D22" s="130">
        <f>IF(VLOOKUP($B$7,Všechny_obce_koeficienty!$D$2:$U$1045,3,FALSE)="",1,VLOOKUP($B$7,Všechny_obce_koeficienty!$D$2:$U$1045,3,FALSE))</f>
        <v>1</v>
      </c>
      <c r="E22" s="45" t="s">
        <v>16</v>
      </c>
      <c r="F22" s="131" t="str">
        <f>IF(VLOOKUP($B$7,Všechny_obce_koeficienty!$D$2:$U$1045,18,FALSE)="","1,0",VLOOKUP($B$7,Všechny_obce_koeficienty!$D$2:$U$1045,18,FALSE))</f>
        <v>2</v>
      </c>
      <c r="G22" s="126">
        <f>VLOOKUP($B$7,Obce_vynos!B3:AB1045,6,FALSE)</f>
        <v>0</v>
      </c>
      <c r="H22" s="40"/>
      <c r="I22" s="120">
        <v>1.4</v>
      </c>
      <c r="J22" s="131" t="str">
        <f t="shared" si="1"/>
        <v>2</v>
      </c>
      <c r="K22" s="131" t="str">
        <f t="shared" si="2"/>
        <v/>
      </c>
      <c r="L22" s="134"/>
      <c r="M22" s="176"/>
      <c r="N22" s="108">
        <f>IF(R22=0,G22/D22*I22/F22,G22/D22*I22/F22*R22)*$L$13</f>
        <v>0</v>
      </c>
      <c r="O22" s="133">
        <f t="shared" si="0"/>
        <v>0</v>
      </c>
      <c r="P22" s="95" t="str">
        <f>IF(HELP!AF22="ANO","","!!!")</f>
        <v/>
      </c>
      <c r="Q22" s="94" t="str">
        <f>IF(HELP!AF22="ANO","","POZOR! Koeficient pro skupinu NV musí být na všech KÚ shodný!")</f>
        <v/>
      </c>
      <c r="R22" s="135" t="str">
        <f t="shared" si="3"/>
        <v>2</v>
      </c>
      <c r="S22" s="117">
        <f>IF(O5&lt;=1000,Koef!I11,IF(O5&lt;=6000,Koef!J12,IF(O5&lt;=10000,Koef!K13,IF(O5&lt;=25000,Koef!L14,IF(O5&lt;=50000,Koef!L15,Koef!L16)))))</f>
        <v>1.4</v>
      </c>
      <c r="T22" s="117">
        <f>IF(S22&gt;=D22,S22,D22)</f>
        <v>1.4</v>
      </c>
      <c r="U22" s="96"/>
      <c r="V22" s="37"/>
      <c r="W22" s="37"/>
      <c r="X22" s="37"/>
    </row>
    <row r="23" spans="1:27" ht="15" customHeight="1" x14ac:dyDescent="0.25">
      <c r="A23" s="5" t="s">
        <v>10</v>
      </c>
      <c r="B23" s="46">
        <v>0.35</v>
      </c>
      <c r="C23" s="40"/>
      <c r="D23" s="48" t="s">
        <v>16</v>
      </c>
      <c r="E23" s="45" t="s">
        <v>16</v>
      </c>
      <c r="F23" s="131" t="str">
        <f>IF(VLOOKUP($B$7,Všechny_obce_koeficienty!$D$2:$U$1045,18,FALSE)="","1,0",VLOOKUP($B$7,Všechny_obce_koeficienty!$D$2:$U$1045,18,FALSE))</f>
        <v>2</v>
      </c>
      <c r="G23" s="126">
        <f>VLOOKUP($B$7,Obce_vynos!B3:AB1045,7,FALSE)</f>
        <v>77300</v>
      </c>
      <c r="H23" s="40"/>
      <c r="I23" s="129" t="s">
        <v>16</v>
      </c>
      <c r="J23" s="131" t="str">
        <f t="shared" si="1"/>
        <v>2</v>
      </c>
      <c r="K23" s="131" t="str">
        <f t="shared" si="2"/>
        <v/>
      </c>
      <c r="L23" s="134"/>
      <c r="M23" s="176"/>
      <c r="N23" s="108">
        <f>IF(R23=0,G23/F23,G23/F23*R23)*$L$13</f>
        <v>77300</v>
      </c>
      <c r="O23" s="133">
        <f t="shared" si="0"/>
        <v>0</v>
      </c>
      <c r="P23" s="95" t="str">
        <f>IF(HELP!AF25="ANO","","!!!")</f>
        <v/>
      </c>
      <c r="Q23" s="94" t="str">
        <f>IF(HELP!AF25="ANO","","POZOR! Koeficient pro skupinu NV musí být na všech KÚ shodný!")</f>
        <v/>
      </c>
      <c r="R23" s="135" t="str">
        <f t="shared" si="3"/>
        <v>2</v>
      </c>
      <c r="S23" s="96"/>
      <c r="T23" s="117"/>
      <c r="U23" s="96"/>
      <c r="V23" s="37"/>
      <c r="W23" s="37"/>
      <c r="X23" s="37"/>
    </row>
    <row r="24" spans="1:27" ht="15" customHeight="1" x14ac:dyDescent="0.25">
      <c r="A24" s="5" t="s">
        <v>67</v>
      </c>
      <c r="B24" s="46">
        <v>0.35</v>
      </c>
      <c r="C24" s="40"/>
      <c r="D24" s="48" t="s">
        <v>16</v>
      </c>
      <c r="E24" s="45" t="s">
        <v>16</v>
      </c>
      <c r="F24" s="131" t="str">
        <f>IF(VLOOKUP($B$7,Všechny_obce_koeficienty!$D$2:$U$1045,18,FALSE)="","1,0",VLOOKUP($B$7,Všechny_obce_koeficienty!$D$2:$U$1045,18,FALSE))</f>
        <v>2</v>
      </c>
      <c r="G24" s="126">
        <f>VLOOKUP($B$7,Obce_vynos!B3:AB1045,17,FALSE)</f>
        <v>28224</v>
      </c>
      <c r="H24" s="40"/>
      <c r="I24" s="129" t="s">
        <v>16</v>
      </c>
      <c r="J24" s="131" t="str">
        <f t="shared" si="1"/>
        <v>2</v>
      </c>
      <c r="K24" s="131" t="str">
        <f t="shared" si="2"/>
        <v/>
      </c>
      <c r="L24" s="134"/>
      <c r="M24" s="176"/>
      <c r="N24" s="108">
        <f>IF(R24=0,G24/F24,G24/F24*R24)*$L$13</f>
        <v>28224</v>
      </c>
      <c r="O24" s="133">
        <f t="shared" si="0"/>
        <v>0</v>
      </c>
      <c r="P24" s="95" t="str">
        <f>IF(HELP!AF28="ANO","","!!!")</f>
        <v/>
      </c>
      <c r="Q24" s="94" t="str">
        <f>IF(HELP!AF28="ANO","","POZOR! Koeficient pro skupinu NV musí být na všech KÚ shodný!")</f>
        <v/>
      </c>
      <c r="R24" s="135" t="str">
        <f t="shared" si="3"/>
        <v>2</v>
      </c>
      <c r="S24" s="96"/>
      <c r="T24" s="117"/>
      <c r="U24" s="96"/>
      <c r="V24" s="37"/>
      <c r="W24" s="37"/>
      <c r="X24" s="37"/>
    </row>
    <row r="25" spans="1:27" ht="15" customHeight="1" x14ac:dyDescent="0.25">
      <c r="A25" s="5" t="s">
        <v>19</v>
      </c>
      <c r="B25" s="46">
        <v>1.8</v>
      </c>
      <c r="C25" s="40"/>
      <c r="D25" s="48" t="s">
        <v>16</v>
      </c>
      <c r="E25" s="45" t="s">
        <v>16</v>
      </c>
      <c r="F25" s="131" t="str">
        <f>IF(VLOOKUP($B$7,Všechny_obce_koeficienty!$D$2:$U$1045,18,FALSE)="","1,0",VLOOKUP($B$7,Všechny_obce_koeficienty!$D$2:$U$1045,18,FALSE))</f>
        <v>2</v>
      </c>
      <c r="G25" s="126">
        <f>VLOOKUP($B$7,Obce_vynos!B3:AB1045,24,FALSE)</f>
        <v>0</v>
      </c>
      <c r="H25" s="40"/>
      <c r="I25" s="129" t="s">
        <v>16</v>
      </c>
      <c r="J25" s="131" t="str">
        <f t="shared" si="1"/>
        <v>2</v>
      </c>
      <c r="K25" s="131" t="str">
        <f t="shared" si="2"/>
        <v/>
      </c>
      <c r="L25" s="134"/>
      <c r="M25" s="176"/>
      <c r="N25" s="108">
        <f>IF(R25=0,G25/F25,G25/F25*R25)*$L$13</f>
        <v>0</v>
      </c>
      <c r="O25" s="133">
        <f t="shared" si="0"/>
        <v>0</v>
      </c>
      <c r="P25" s="95" t="str">
        <f>IF(HELP!AF31="ANO","","!!!")</f>
        <v/>
      </c>
      <c r="Q25" s="94" t="str">
        <f>IF(HELP!AF31="ANO","","POZOR! Koeficient pro skupinu NV musí být na všech KÚ shodný!")</f>
        <v/>
      </c>
      <c r="R25" s="135" t="str">
        <f t="shared" si="3"/>
        <v>2</v>
      </c>
      <c r="S25" s="96"/>
      <c r="T25" s="117"/>
      <c r="U25" s="96"/>
      <c r="V25" s="37"/>
      <c r="W25" s="37"/>
      <c r="X25" s="37"/>
    </row>
    <row r="26" spans="1:27" ht="15" customHeight="1" thickBot="1" x14ac:dyDescent="0.3">
      <c r="A26" s="6" t="s">
        <v>18</v>
      </c>
      <c r="B26" s="49">
        <v>9</v>
      </c>
      <c r="C26" s="40"/>
      <c r="D26" s="50" t="s">
        <v>16</v>
      </c>
      <c r="E26" s="51" t="s">
        <v>16</v>
      </c>
      <c r="F26" s="52" t="str">
        <f>IF(VLOOKUP($B$7,Všechny_obce_koeficienty!$D$2:$U$1045,18,FALSE)="","1,0",VLOOKUP($B$7,Všechny_obce_koeficienty!$D$2:$U$1045,18,FALSE))</f>
        <v>2</v>
      </c>
      <c r="G26" s="127">
        <f>VLOOKUP($B$7,Obce_vynos!B3:AB1045,25,FALSE)</f>
        <v>104508</v>
      </c>
      <c r="H26" s="40"/>
      <c r="I26" s="53" t="s">
        <v>16</v>
      </c>
      <c r="J26" s="52" t="str">
        <f t="shared" si="1"/>
        <v>2</v>
      </c>
      <c r="K26" s="52" t="str">
        <f t="shared" si="2"/>
        <v/>
      </c>
      <c r="L26" s="124"/>
      <c r="M26" s="176"/>
      <c r="N26" s="109">
        <f>IF(R26=0,G26/F26,G26/F26*R26)*$L$13</f>
        <v>104508</v>
      </c>
      <c r="O26" s="110">
        <f t="shared" si="0"/>
        <v>0</v>
      </c>
      <c r="P26" s="95" t="str">
        <f>IF(HELP!AF34="ANO","","!!!")</f>
        <v/>
      </c>
      <c r="Q26" s="94" t="str">
        <f>IF(HELP!AF34="ANO","","POZOR! Koeficient pro skupinu NV musí být na všech KÚ shodný!")</f>
        <v/>
      </c>
      <c r="R26" s="135" t="str">
        <f t="shared" si="3"/>
        <v>2</v>
      </c>
      <c r="S26" s="96"/>
      <c r="T26" s="117"/>
      <c r="U26" s="96"/>
      <c r="V26" s="37"/>
      <c r="W26" s="37"/>
      <c r="X26" s="37"/>
    </row>
    <row r="27" spans="1:27" ht="5.0999999999999996" customHeight="1" thickBot="1" x14ac:dyDescent="0.3">
      <c r="A27" s="32"/>
      <c r="B27" s="54"/>
      <c r="C27" s="40"/>
      <c r="D27" s="55"/>
      <c r="E27" s="56"/>
      <c r="F27" s="56"/>
      <c r="G27" s="57"/>
      <c r="H27" s="40"/>
      <c r="I27" s="58"/>
      <c r="J27" s="38"/>
      <c r="K27" s="38"/>
      <c r="L27" s="38"/>
      <c r="M27" s="40"/>
      <c r="N27" s="59"/>
      <c r="O27" s="60"/>
      <c r="P27" s="95" t="str">
        <f>IFERROR(IF(AND(L27=#REF!,L27=#REF!,L27=#REF!,L27=#REF!,L27=#REF!,L27=#REF!,L27=#REF!,L27=#REF!,L27=#REF!,L27=#REF!,L27=#REF!,L27=#REF!),"","!!!"),IFERROR(IF(AND(L27=#REF!,L27=#REF!,L27=#REF!,L27=#REF!,L27=#REF!,L27=#REF!,L27=#REF!,L27=#REF!,L27=#REF!,L27=#REF!,L27=#REF!),"","!!!"),IFERROR(IF(AND(L27=#REF!,L27=#REF!,L27=#REF!,L27=#REF!,L27=#REF!,L27=#REF!,L27=#REF!,L27=#REF!,L27=#REF!,L27=#REF!),"","!!!"),IFERROR(IF(AND(L27=#REF!,L27=#REF!,L27=#REF!,L27=#REF!,L27=#REF!,L27=#REF!,L27=#REF!,L27=#REF!,L27=#REF!,),"","!!!"),IFERROR(IF(AND(L27=#REF!,L27=#REF!,L27=#REF!,L27=#REF!,L27=#REF!,L27=#REF!,L27=#REF!,L27=#REF!),"","!!!"),IFERROR(IF(AND(L27=#REF!,L27=#REF!,L27=#REF!,L27=#REF!,L27=#REF!,L27=#REF!,L27=#REF!),"","!!!"),IFERROR(IF(AND(L27=#REF!,L27=#REF!,L27=#REF!,L27=#REF!,L27=#REF!,L27=#REF!),"","!!!"),IFERROR(IF(AND(L27=#REF!,L27=#REF!,L27=#REF!,L27=#REF!,L27=#REF!),"","!!!"),IFERROR(IF(AND(L27=#REF!,L27=#REF!,L27=#REF!,L27=#REF!),"","!!!"),IFERROR(IF(AND(L27=#REF!,L27=#REF!,L27=#REF!),"","!!!"),IFERROR(IF(AND(L27=#REF!,L27=#REF!),"","!!!"),IFERROR(IF(AND(L27=#REF!),"","!!!"),""))))))))))))</f>
        <v/>
      </c>
      <c r="Q27" s="94" t="str">
        <f>IFERROR(IF(AND(L27=#REF!,L27=#REF!,L27=#REF!,L27=#REF!,L27=#REF!,L27=#REF!,L27=#REF!,L27=#REF!,L27=#REF!,L27=#REF!,L27=#REF!,L27=#REF!),"","POZOR! Koeficient pro skupinu NV musí být na všech KÚ shodný!"),IFERROR(IF(AND(L27=#REF!,L27=#REF!,L27=#REF!,L27=#REF!,L27=#REF!,L27=#REF!,L27=#REF!,L27=#REF!,L27=#REF!,L27=#REF!,L27=#REF!),"","POZOR! Koeficient pro skupinu NV musí být na všech KÚ shodný!"),IFERROR(IF(AND(L27=#REF!,L27=#REF!,L27=#REF!,L27=#REF!,L27=#REF!,L27=#REF!,L27=#REF!,L27=#REF!,L27=#REF!,L27=#REF!),"","POZOR! Koeficient pro skupinu NV musí být na všech KÚ shodný!"),IFERROR(IF(AND(L27=#REF!,L27=#REF!,L27=#REF!,L27=#REF!,L27=#REF!,L27=#REF!,L27=#REF!,L27=#REF!,L27=#REF!,),"","POZOR! Koeficient pro skupinu NV musí být na všech KÚ shodný!"),IFERROR(IF(AND(L27=#REF!,L27=#REF!,L27=#REF!,L27=#REF!,L27=#REF!,L27=#REF!,L27=#REF!,L27=#REF!),"","POZOR! Koeficient pro skupinu NV musí být na všech KÚ shodný!"),IFERROR(IF(AND(L27=#REF!,L27=#REF!,L27=#REF!,L27=#REF!,L27=#REF!,L27=#REF!,L27=#REF!),"","POZOR! Koeficient pro skupinu NV musí být na všech KÚ shodný!"),IFERROR(IF(AND(L27=#REF!,L27=#REF!,L27=#REF!,L27=#REF!,L27=#REF!,L27=#REF!),"","POZOR! Koeficient pro skupinu NV musí být na všech KÚ shodný!"),IFERROR(IF(AND(L27=#REF!,L27=#REF!,L27=#REF!,L27=#REF!,L27=#REF!),"","POZOR! Koeficient pro skupinu NV musí být na všech KÚ shodný!"),IFERROR(IF(AND(L27=#REF!,L27=#REF!,L27=#REF!,L27=#REF!),"","POZOR! Koeficient pro skupinu NV musí být na všech KÚ shodný!"),IFERROR(IF(AND(L27=#REF!,L27=#REF!,L27=#REF!),"","POZOR! Koeficient pro skupinu NV musí být na všech KÚ shodný!"),IFERROR(IF(AND(L27=#REF!,L27=#REF!),"","POZOR! Koeficient pro skupinu NV musí být na všech KÚ shodný!"),IFERROR(IF(AND(L27=#REF!),"","POZOR! Koeficient pro skupinu NV musí být na všech KÚ shodný!"),""))))))))))))</f>
        <v/>
      </c>
      <c r="R27" s="135" t="str">
        <f t="shared" si="3"/>
        <v>2</v>
      </c>
      <c r="S27" s="96"/>
      <c r="T27" s="117"/>
      <c r="U27" s="96"/>
      <c r="V27" s="37"/>
      <c r="W27" s="37"/>
      <c r="X27" s="37"/>
    </row>
    <row r="28" spans="1:27" ht="30" x14ac:dyDescent="0.25">
      <c r="A28" s="7" t="s">
        <v>74</v>
      </c>
      <c r="B28" s="61">
        <v>3.5</v>
      </c>
      <c r="C28" s="40"/>
      <c r="D28" s="130">
        <f>IF(VLOOKUP($B$7,Všechny_obce_koeficienty!$D$2:$U$1045,4,FALSE)="",1,VLOOKUP($B$7,Všechny_obce_koeficienty!$D$2:$U$1045,4,FALSE))</f>
        <v>1.4</v>
      </c>
      <c r="E28" s="62" t="s">
        <v>16</v>
      </c>
      <c r="F28" s="63" t="str">
        <f>IF(VLOOKUP($B$7,Všechny_obce_koeficienty!$D$2:$U$1045,18,FALSE)="","1,0",VLOOKUP($B$7,Všechny_obce_koeficienty!$D$2:$U$1045,18,FALSE))</f>
        <v>2</v>
      </c>
      <c r="G28" s="64">
        <f>VLOOKUP($B$7,Obce_vynos!B3:AB1045,8,FALSE)+VLOOKUP($B$7,Obce_vynos!B3:AB1045,9,FALSE)</f>
        <v>418780</v>
      </c>
      <c r="H28" s="40"/>
      <c r="I28" s="120">
        <v>1.4</v>
      </c>
      <c r="J28" s="63" t="str">
        <f t="shared" si="1"/>
        <v>2</v>
      </c>
      <c r="K28" s="63" t="str">
        <f t="shared" si="2"/>
        <v/>
      </c>
      <c r="L28" s="125"/>
      <c r="M28" s="176"/>
      <c r="N28" s="111">
        <f>IF(R28=0,G28/D28*I28/F28,G28/D28*I28/F28*R28)*$L$13</f>
        <v>418779.99999999994</v>
      </c>
      <c r="O28" s="112">
        <f>N28-G28</f>
        <v>0</v>
      </c>
      <c r="P28" s="95" t="str">
        <f>IF(HELP!AF37="ANO","","!!!")</f>
        <v/>
      </c>
      <c r="Q28" s="94" t="str">
        <f>IF(HELP!AF37="ANO","","POZOR! Koeficient pro skupinu NV musí být na všech KÚ shodný!")</f>
        <v/>
      </c>
      <c r="R28" s="135" t="str">
        <f t="shared" si="3"/>
        <v>2</v>
      </c>
      <c r="S28" s="117">
        <f>IF(O5&lt;=1000,Koef!I11,IF(O5&lt;=6000,Koef!J12,IF(O5&lt;=10000,Koef!K13,IF(O5&lt;=25000,Koef!L14,IF(O5&lt;=50000,Koef!L15,Koef!L16)))))</f>
        <v>1.4</v>
      </c>
      <c r="T28" s="117">
        <f>IF(S28&gt;=D28,S28,D28)</f>
        <v>1.4</v>
      </c>
      <c r="U28" s="96"/>
      <c r="V28" s="37"/>
      <c r="W28" s="37"/>
      <c r="X28" s="37"/>
    </row>
    <row r="29" spans="1:27" ht="30" customHeight="1" x14ac:dyDescent="0.25">
      <c r="A29" s="5" t="s">
        <v>75</v>
      </c>
      <c r="B29" s="46">
        <v>3.5</v>
      </c>
      <c r="C29" s="40"/>
      <c r="D29" s="130">
        <f>IF(VLOOKUP($B$7,Všechny_obce_koeficienty!$D$2:$U$1045,12,FALSE)="",1,VLOOKUP($B$7,Všechny_obce_koeficienty!$D$2:$U$1045,12,FALSE))</f>
        <v>1.4</v>
      </c>
      <c r="E29" s="45" t="s">
        <v>16</v>
      </c>
      <c r="F29" s="131" t="str">
        <f>IF(VLOOKUP($B$7,Všechny_obce_koeficienty!$D$2:$U$1045,18,FALSE)="","1,0",VLOOKUP($B$7,Všechny_obce_koeficienty!$D$2:$U$1045,18,FALSE))</f>
        <v>2</v>
      </c>
      <c r="G29" s="126">
        <f>VLOOKUP($B$7,Obce_vynos!B3:AB1045,18,FALSE)+VLOOKUP($B$7,Obce_vynos!B3:AB1045,26,FALSE)</f>
        <v>123877</v>
      </c>
      <c r="H29" s="40"/>
      <c r="I29" s="120">
        <v>1.4</v>
      </c>
      <c r="J29" s="131" t="str">
        <f t="shared" si="1"/>
        <v>2</v>
      </c>
      <c r="K29" s="131" t="str">
        <f t="shared" si="2"/>
        <v/>
      </c>
      <c r="L29" s="134"/>
      <c r="M29" s="176"/>
      <c r="N29" s="108">
        <f>IF(R29=0,G29/D29*I29/F29,G29/D29*I29/F29*R29)*$L$13</f>
        <v>123877</v>
      </c>
      <c r="O29" s="133">
        <f>N29-G29</f>
        <v>0</v>
      </c>
      <c r="P29" s="95" t="str">
        <f>IF(HELP!AF40="ANO","","!!!")</f>
        <v/>
      </c>
      <c r="Q29" s="94" t="str">
        <f>IF(HELP!AF40="ANO","","POZOR! Koeficient pro skupinu NV musí být na všech KÚ shodný!")</f>
        <v/>
      </c>
      <c r="R29" s="135" t="str">
        <f t="shared" si="3"/>
        <v>2</v>
      </c>
      <c r="S29" s="117">
        <f>IF(O5&lt;=1000,Koef!I11,IF(O5&lt;=6000,Koef!J12,IF(O5&lt;=10000,Koef!K13,IF(O5&lt;=25000,Koef!L14,IF(O5&lt;=50000,Koef!L15,Koef!L16)))))</f>
        <v>1.4</v>
      </c>
      <c r="T29" s="117">
        <f>IF(S29&gt;=D29,S29,D29)</f>
        <v>1.4</v>
      </c>
      <c r="U29" s="117"/>
      <c r="V29" s="37"/>
      <c r="W29" s="37"/>
      <c r="X29" s="37"/>
    </row>
    <row r="30" spans="1:27" ht="15" customHeight="1" x14ac:dyDescent="0.25">
      <c r="A30" s="155" t="s">
        <v>76</v>
      </c>
      <c r="B30" s="46">
        <v>11</v>
      </c>
      <c r="C30" s="40"/>
      <c r="D30" s="236" t="s">
        <v>16</v>
      </c>
      <c r="E30" s="151">
        <f>IF(VLOOKUP($B$7,Všechny_obce_koeficienty!$D$2:$U$1045,6,FALSE)=1.5,1.5,IF(VLOOKUP($B$7,Všechny_obce_koeficienty!$D$2:$U$1045,6,FALSE)=3,1.5,1))</f>
        <v>1.5</v>
      </c>
      <c r="F30" s="151" t="str">
        <f>IF(VLOOKUP($B$7,Všechny_obce_koeficienty!$D$2:$U$1045,18,FALSE)="","1,0",VLOOKUP($B$7,Všechny_obce_koeficienty!$D$2:$U$1045,18,FALSE))</f>
        <v>2</v>
      </c>
      <c r="G30" s="245">
        <f>VLOOKUP($B$7,Obce_vynos!B3:AB1045,10,FALSE)+VLOOKUP($B$7,Obce_vynos!B3:AB1045,11,FALSE)</f>
        <v>86818</v>
      </c>
      <c r="H30" s="40"/>
      <c r="I30" s="149" t="s">
        <v>16</v>
      </c>
      <c r="J30" s="151" t="str">
        <f t="shared" si="1"/>
        <v>2</v>
      </c>
      <c r="K30" s="151" t="str">
        <f t="shared" si="2"/>
        <v/>
      </c>
      <c r="L30" s="172">
        <v>5</v>
      </c>
      <c r="M30" s="176"/>
      <c r="N30" s="160">
        <f>IF(R30=0,G30/F30/E30,G30/F30/E30*R30)*$L$13</f>
        <v>144696.66666666666</v>
      </c>
      <c r="O30" s="162">
        <f>N30-G30</f>
        <v>57878.666666666657</v>
      </c>
      <c r="P30" s="153" t="str">
        <f>IF(HELP!AF43="ANO","","!!!")</f>
        <v/>
      </c>
      <c r="Q30" s="154" t="str">
        <f>IF(HELP!AF43="ANO","","POZOR! Koeficient pro skupinu NV musí být na všech KÚ shodný!")</f>
        <v/>
      </c>
      <c r="R30" s="164">
        <f t="shared" si="3"/>
        <v>5</v>
      </c>
      <c r="S30" s="97"/>
      <c r="T30" s="117"/>
      <c r="U30" s="97"/>
      <c r="V30" s="100"/>
      <c r="W30" s="100"/>
      <c r="X30" s="100"/>
    </row>
    <row r="31" spans="1:27" ht="15" customHeight="1" x14ac:dyDescent="0.25">
      <c r="A31" s="156"/>
      <c r="B31" s="65">
        <v>3.5</v>
      </c>
      <c r="C31" s="40"/>
      <c r="D31" s="237"/>
      <c r="E31" s="152"/>
      <c r="F31" s="152"/>
      <c r="G31" s="246"/>
      <c r="H31" s="40"/>
      <c r="I31" s="150"/>
      <c r="J31" s="152"/>
      <c r="K31" s="152"/>
      <c r="L31" s="173"/>
      <c r="M31" s="176"/>
      <c r="N31" s="161"/>
      <c r="O31" s="163"/>
      <c r="P31" s="153"/>
      <c r="Q31" s="154"/>
      <c r="R31" s="164"/>
      <c r="S31" s="97"/>
      <c r="T31" s="97"/>
      <c r="U31" s="97"/>
      <c r="V31" s="100"/>
      <c r="W31" s="100"/>
      <c r="X31" s="100"/>
    </row>
    <row r="32" spans="1:27" ht="15.75" customHeight="1" x14ac:dyDescent="0.25">
      <c r="A32" s="155" t="s">
        <v>103</v>
      </c>
      <c r="B32" s="247">
        <v>14.5</v>
      </c>
      <c r="C32" s="66"/>
      <c r="D32" s="157" t="s">
        <v>16</v>
      </c>
      <c r="E32" s="131">
        <f>IF(VLOOKUP($B$7,Všechny_obce_koeficienty!$D$2:$U$1045,8,FALSE)="","1,0",VLOOKUP($B$7,Všechny_obce_koeficienty!$D$2:$U$1045,8,FALSE))</f>
        <v>1.5</v>
      </c>
      <c r="F32" s="151" t="str">
        <f>IF(VLOOKUP($B$7,Všechny_obce_koeficienty!$D$2:$U$1045,18,FALSE)="","1,0",VLOOKUP($B$7,Všechny_obce_koeficienty!$D$2:$U$1045,18,FALSE))</f>
        <v>2</v>
      </c>
      <c r="G32" s="126">
        <f>VLOOKUP($B$7,Obce_vynos!B3:AB1045,12,FALSE)</f>
        <v>132094</v>
      </c>
      <c r="H32" s="67"/>
      <c r="I32" s="149" t="s">
        <v>16</v>
      </c>
      <c r="J32" s="151" t="str">
        <f t="shared" si="1"/>
        <v>2</v>
      </c>
      <c r="K32" s="151" t="str">
        <f t="shared" si="2"/>
        <v/>
      </c>
      <c r="L32" s="172">
        <v>3</v>
      </c>
      <c r="M32" s="176"/>
      <c r="N32" s="160">
        <f>(IF(R32=0,G32/F32/E32,G32/F32/E32*R32)*$L$13)+(IF(R32=0,G33/F32/E33,G33/F32/E33*R32)*$L$13)</f>
        <v>133530</v>
      </c>
      <c r="O32" s="162">
        <f>N32-G32-G33</f>
        <v>0</v>
      </c>
      <c r="P32" s="153" t="str">
        <f>IF(HELP!AF46="ANO","","!!!")</f>
        <v/>
      </c>
      <c r="Q32" s="154" t="str">
        <f>IF(HELP!AF46="ANO","","POZOR! Koeficient pro skupinu NV musí být na všech KÚ shodný!")</f>
        <v/>
      </c>
      <c r="R32" s="159">
        <f>IF(IF(L32&gt;=$K$7,L32,IF(L32="",$K$7,IF($K$7="",$J$7,$K$7)))=0,$J$7,IF(L32&gt;=$K$7,L32,IF(L32="",$K$7,IF($K$7="",$J$7,$K$7))))</f>
        <v>3</v>
      </c>
      <c r="S32" s="96"/>
      <c r="T32" s="96"/>
      <c r="U32" s="98"/>
      <c r="V32" s="101"/>
      <c r="W32" s="101"/>
      <c r="X32" s="37"/>
      <c r="Y32" s="35"/>
      <c r="Z32" s="35"/>
      <c r="AA32" s="35"/>
    </row>
    <row r="33" spans="1:27" ht="15.75" x14ac:dyDescent="0.25">
      <c r="A33" s="156"/>
      <c r="B33" s="248"/>
      <c r="C33" s="40"/>
      <c r="D33" s="158"/>
      <c r="E33" s="131">
        <f>IF(VLOOKUP($B$7,Všechny_obce_koeficienty!$D$2:$U$1045,16,FALSE)="","1,0",VLOOKUP($B$7,Všechny_obce_koeficienty!$D$2:$U$1045,16,FALSE))</f>
        <v>1.5</v>
      </c>
      <c r="F33" s="152"/>
      <c r="G33" s="126">
        <f>VLOOKUP($B$7,Obce_vynos!B3:AB1045,22,FALSE)</f>
        <v>1436</v>
      </c>
      <c r="H33" s="40"/>
      <c r="I33" s="150"/>
      <c r="J33" s="152"/>
      <c r="K33" s="152"/>
      <c r="L33" s="173"/>
      <c r="M33" s="176"/>
      <c r="N33" s="161"/>
      <c r="O33" s="163"/>
      <c r="P33" s="153"/>
      <c r="Q33" s="154"/>
      <c r="R33" s="159"/>
      <c r="S33" s="96"/>
      <c r="T33" s="96"/>
      <c r="U33" s="98"/>
      <c r="V33" s="101"/>
      <c r="W33" s="101"/>
      <c r="X33" s="37"/>
      <c r="Y33" s="35"/>
      <c r="Z33" s="35"/>
      <c r="AA33" s="35"/>
    </row>
    <row r="34" spans="1:27" ht="15.75" customHeight="1" x14ac:dyDescent="0.25">
      <c r="A34" s="155" t="s">
        <v>104</v>
      </c>
      <c r="B34" s="247">
        <v>3.5</v>
      </c>
      <c r="C34" s="40"/>
      <c r="D34" s="157" t="s">
        <v>16</v>
      </c>
      <c r="E34" s="131">
        <f>IF(VLOOKUP($B$7,Všechny_obce_koeficienty!$D$2:$U$1045,9,FALSE)="","1,0",VLOOKUP($B$7,Všechny_obce_koeficienty!$D$2:$U$1045,9,FALSE))</f>
        <v>1.5</v>
      </c>
      <c r="F34" s="151" t="str">
        <f>IF(VLOOKUP($B$7,Všechny_obce_koeficienty!$D$2:$U$1045,18,FALSE)="","1,0",VLOOKUP($B$7,Všechny_obce_koeficienty!$D$2:$U$1045,18,FALSE))</f>
        <v>2</v>
      </c>
      <c r="G34" s="126">
        <f>VLOOKUP($B$7,Obce_vynos!B3:AB1045,13,FALSE)</f>
        <v>117938</v>
      </c>
      <c r="H34" s="40"/>
      <c r="I34" s="149" t="s">
        <v>16</v>
      </c>
      <c r="J34" s="151" t="str">
        <f t="shared" si="1"/>
        <v>2</v>
      </c>
      <c r="K34" s="151" t="str">
        <f t="shared" si="2"/>
        <v/>
      </c>
      <c r="L34" s="172">
        <v>3</v>
      </c>
      <c r="M34" s="176"/>
      <c r="N34" s="160">
        <f>IF(R34=0,G34/F34/E34,G34/F34/E34*R34)*$L$13+IF(R34=0,G35/F34/E35,G35/F34/E35*R34)*$L$13</f>
        <v>117938</v>
      </c>
      <c r="O34" s="162">
        <f>N34-G34-G35</f>
        <v>0</v>
      </c>
      <c r="P34" s="153" t="str">
        <f>IF(HELP!AF49="ANO","","!!!")</f>
        <v/>
      </c>
      <c r="Q34" s="154" t="str">
        <f>IF(HELP!AF49="ANO","","POZOR! Koeficient pro skupinu NV musí být na všech KÚ shodný!")</f>
        <v/>
      </c>
      <c r="R34" s="164">
        <f t="shared" si="3"/>
        <v>3</v>
      </c>
      <c r="S34" s="96"/>
      <c r="T34" s="96"/>
      <c r="U34" s="96"/>
      <c r="V34" s="37"/>
      <c r="W34" s="37"/>
      <c r="X34" s="37"/>
    </row>
    <row r="35" spans="1:27" ht="15.75" customHeight="1" x14ac:dyDescent="0.25">
      <c r="A35" s="156"/>
      <c r="B35" s="248"/>
      <c r="C35" s="40"/>
      <c r="D35" s="158"/>
      <c r="E35" s="131" t="str">
        <f>IF(VLOOKUP($B$7,Všechny_obce_koeficienty!$D$2:$U$1045,13,FALSE)="","1,0",VLOOKUP($B$7,Všechny_obce_koeficienty!$D$2:$U$1045,13,FALSE))</f>
        <v>1,0</v>
      </c>
      <c r="F35" s="152"/>
      <c r="G35" s="126">
        <f>VLOOKUP($B$7,Obce_vynos!B3:AB1045,19,FALSE)</f>
        <v>0</v>
      </c>
      <c r="H35" s="40"/>
      <c r="I35" s="150"/>
      <c r="J35" s="152"/>
      <c r="K35" s="152"/>
      <c r="L35" s="173"/>
      <c r="M35" s="176"/>
      <c r="N35" s="161"/>
      <c r="O35" s="163"/>
      <c r="P35" s="153"/>
      <c r="Q35" s="154"/>
      <c r="R35" s="164"/>
      <c r="S35" s="96"/>
      <c r="T35" s="96"/>
      <c r="U35" s="96"/>
      <c r="V35" s="37"/>
      <c r="W35" s="37"/>
      <c r="X35" s="37"/>
    </row>
    <row r="36" spans="1:27" ht="15.75" customHeight="1" x14ac:dyDescent="0.25">
      <c r="A36" s="155" t="s">
        <v>105</v>
      </c>
      <c r="B36" s="247">
        <v>18</v>
      </c>
      <c r="C36" s="40"/>
      <c r="D36" s="157" t="s">
        <v>16</v>
      </c>
      <c r="E36" s="131">
        <f>IF(VLOOKUP($B$7,Všechny_obce_koeficienty!$D$2:$U$1045,10,FALSE)="","1,0",VLOOKUP($B$7,Všechny_obce_koeficienty!$D$2:$U$1045,10,FALSE))</f>
        <v>1.5</v>
      </c>
      <c r="F36" s="151" t="str">
        <f>IF(VLOOKUP($B$7,Všechny_obce_koeficienty!$D$2:$U$1045,18,FALSE)="","1,0",VLOOKUP($B$7,Všechny_obce_koeficienty!$D$2:$U$1045,18,FALSE))</f>
        <v>2</v>
      </c>
      <c r="G36" s="126">
        <f>VLOOKUP($B$7,Obce_vynos!B3:AB1045,14,FALSE)</f>
        <v>285816</v>
      </c>
      <c r="H36" s="40"/>
      <c r="I36" s="149" t="s">
        <v>16</v>
      </c>
      <c r="J36" s="151" t="str">
        <f t="shared" si="1"/>
        <v>2</v>
      </c>
      <c r="K36" s="151" t="str">
        <f t="shared" si="2"/>
        <v/>
      </c>
      <c r="L36" s="172">
        <v>3</v>
      </c>
      <c r="M36" s="176"/>
      <c r="N36" s="160">
        <f>IF(R36=0,G36/F36/E36,G36/F36/E36*R36)*$L$13+IF(R36=0,G37/F36/E37,G37/F36/E37*R36)*$L$13</f>
        <v>285816</v>
      </c>
      <c r="O36" s="162">
        <f>N36-G36-G37</f>
        <v>0</v>
      </c>
      <c r="P36" s="153" t="str">
        <f>IF(HELP!AF52="ANO","","!!!")</f>
        <v/>
      </c>
      <c r="Q36" s="154" t="str">
        <f>IF(HELP!AF52="ANO","","POZOR! Koeficient pro skupinu NV musí být na všech KÚ shodný!")</f>
        <v/>
      </c>
      <c r="R36" s="164">
        <f t="shared" si="3"/>
        <v>3</v>
      </c>
      <c r="S36" s="96"/>
      <c r="T36" s="96"/>
      <c r="U36" s="96"/>
      <c r="V36" s="37"/>
      <c r="W36" s="37"/>
      <c r="X36" s="37"/>
    </row>
    <row r="37" spans="1:27" ht="15.75" customHeight="1" x14ac:dyDescent="0.25">
      <c r="A37" s="156"/>
      <c r="B37" s="248"/>
      <c r="C37" s="40"/>
      <c r="D37" s="158"/>
      <c r="E37" s="131" t="str">
        <f>IF(VLOOKUP($B$7,Všechny_obce_koeficienty!$D$2:$U$1045,14,FALSE)="","1,0",VLOOKUP($B$7,Všechny_obce_koeficienty!$D$2:$U$1045,14,FALSE))</f>
        <v>1,0</v>
      </c>
      <c r="F37" s="152"/>
      <c r="G37" s="126">
        <f>VLOOKUP($B$7,Obce_vynos!B3:AB1045,20,FALSE)</f>
        <v>0</v>
      </c>
      <c r="H37" s="40"/>
      <c r="I37" s="150"/>
      <c r="J37" s="152"/>
      <c r="K37" s="152"/>
      <c r="L37" s="173"/>
      <c r="M37" s="176"/>
      <c r="N37" s="161"/>
      <c r="O37" s="163"/>
      <c r="P37" s="153"/>
      <c r="Q37" s="154"/>
      <c r="R37" s="164"/>
      <c r="S37" s="96"/>
      <c r="T37" s="96"/>
      <c r="U37" s="96"/>
      <c r="V37" s="37"/>
      <c r="W37" s="37"/>
      <c r="X37" s="37"/>
    </row>
    <row r="38" spans="1:27" ht="15.75" customHeight="1" x14ac:dyDescent="0.25">
      <c r="A38" s="155" t="s">
        <v>106</v>
      </c>
      <c r="B38" s="247">
        <v>18</v>
      </c>
      <c r="C38" s="40"/>
      <c r="D38" s="157" t="s">
        <v>16</v>
      </c>
      <c r="E38" s="131">
        <f>IF(VLOOKUP($B$7,Všechny_obce_koeficienty!$D$2:$U$1045,11,FALSE)="","1,0",VLOOKUP($B$7,Všechny_obce_koeficienty!$D$2:$U$1045,11,FALSE))</f>
        <v>1.5</v>
      </c>
      <c r="F38" s="151" t="str">
        <f>IF(VLOOKUP($B$7,Všechny_obce_koeficienty!$D$2:$U$1045,18,FALSE)="","1,0",VLOOKUP($B$7,Všechny_obce_koeficienty!$D$2:$U$1045,18,FALSE))</f>
        <v>2</v>
      </c>
      <c r="G38" s="126">
        <f>VLOOKUP($B$7,Obce_vynos!B3:AB1045,15,FALSE)</f>
        <v>42956</v>
      </c>
      <c r="H38" s="40"/>
      <c r="I38" s="149" t="s">
        <v>16</v>
      </c>
      <c r="J38" s="151" t="str">
        <f t="shared" si="1"/>
        <v>2</v>
      </c>
      <c r="K38" s="151" t="str">
        <f t="shared" si="2"/>
        <v/>
      </c>
      <c r="L38" s="172">
        <v>3</v>
      </c>
      <c r="M38" s="176"/>
      <c r="N38" s="160">
        <f>IF(R38=0,G38/F38/E38,G38/F38/E38*R38)*$L$13+IF(R38=0,G39/F38/E39,G39/F38/E39*R38)*$L$13</f>
        <v>42956</v>
      </c>
      <c r="O38" s="162">
        <f>N38-G38-G39</f>
        <v>0</v>
      </c>
      <c r="P38" s="153" t="str">
        <f>IF(HELP!AF55="ANO","","!!!")</f>
        <v/>
      </c>
      <c r="Q38" s="154" t="str">
        <f>IF(HELP!AF55="ANO","","POZOR! Koeficient pro skupinu NV musí být na všech KÚ shodný!")</f>
        <v/>
      </c>
      <c r="R38" s="165">
        <f>IF(IF(L38&gt;=$K$7,L38,IF(L38="",$K$7,IF($K$7="",$J$7,$K$7)))=0,$J$7,IF(L38&gt;=$K$7,L38,IF(L38="",$K$7,IF($K$7="",$J$7,$K$7))))</f>
        <v>3</v>
      </c>
      <c r="S38" s="96"/>
      <c r="T38" s="96"/>
      <c r="U38" s="96"/>
      <c r="V38" s="37"/>
      <c r="W38" s="37"/>
      <c r="X38" s="37"/>
    </row>
    <row r="39" spans="1:27" ht="15.75" x14ac:dyDescent="0.25">
      <c r="A39" s="156"/>
      <c r="B39" s="248"/>
      <c r="C39" s="40"/>
      <c r="D39" s="158"/>
      <c r="E39" s="132" t="str">
        <f>IF(VLOOKUP($B$7,Všechny_obce_koeficienty!$D$2:$U$1045,15,FALSE)="","1,0",VLOOKUP($B$7,Všechny_obce_koeficienty!$D$2:$U$1045,15,FALSE))</f>
        <v>1,0</v>
      </c>
      <c r="F39" s="152"/>
      <c r="G39" s="116">
        <f>VLOOKUP($B$7,Obce_vynos!B3:AB1045,21,FALSE)</f>
        <v>0</v>
      </c>
      <c r="H39" s="40"/>
      <c r="I39" s="150"/>
      <c r="J39" s="152"/>
      <c r="K39" s="152"/>
      <c r="L39" s="173"/>
      <c r="M39" s="176"/>
      <c r="N39" s="161"/>
      <c r="O39" s="163"/>
      <c r="P39" s="153"/>
      <c r="Q39" s="154"/>
      <c r="R39" s="165"/>
      <c r="S39" s="96"/>
      <c r="T39" s="96"/>
      <c r="U39" s="96"/>
      <c r="V39" s="37"/>
      <c r="W39" s="37"/>
      <c r="X39" s="37"/>
    </row>
    <row r="40" spans="1:27" ht="15" customHeight="1" thickBot="1" x14ac:dyDescent="0.3">
      <c r="A40" s="6" t="s">
        <v>11</v>
      </c>
      <c r="B40" s="49">
        <v>11</v>
      </c>
      <c r="C40" s="40"/>
      <c r="D40" s="50" t="s">
        <v>16</v>
      </c>
      <c r="E40" s="68" t="s">
        <v>16</v>
      </c>
      <c r="F40" s="52" t="str">
        <f>IF(VLOOKUP($B$7,Všechny_obce_koeficienty!$D$2:$U$1045,18,FALSE)="","1,0",VLOOKUP($B$7,Všechny_obce_koeficienty!$D$2:$U$1045,18,FALSE))</f>
        <v>2</v>
      </c>
      <c r="G40" s="127">
        <f>VLOOKUP($B$7,Obce_vynos!B3:AB1045,16,FALSE)</f>
        <v>28414</v>
      </c>
      <c r="H40" s="40"/>
      <c r="I40" s="69" t="s">
        <v>16</v>
      </c>
      <c r="J40" s="52" t="str">
        <f t="shared" si="1"/>
        <v>2</v>
      </c>
      <c r="K40" s="52" t="str">
        <f t="shared" si="2"/>
        <v/>
      </c>
      <c r="L40" s="124"/>
      <c r="M40" s="176"/>
      <c r="N40" s="109">
        <f>IF(R40=0,G40/F40,G40/F40*R40)*$L$13</f>
        <v>28414</v>
      </c>
      <c r="O40" s="110">
        <f>N40-G40</f>
        <v>0</v>
      </c>
      <c r="P40" s="95" t="str">
        <f>IF(HELP!AF58="ANO","","!!!")</f>
        <v/>
      </c>
      <c r="Q40" s="94" t="str">
        <f>IF(HELP!AF58="ANO","","POZOR! Koeficient pro skupinu NV musí být na všech KÚ shodný!")</f>
        <v/>
      </c>
      <c r="R40" s="135" t="str">
        <f t="shared" si="3"/>
        <v>2</v>
      </c>
      <c r="S40" s="96"/>
      <c r="T40" s="96"/>
      <c r="U40" s="96"/>
      <c r="V40" s="37"/>
      <c r="W40" s="37"/>
      <c r="X40" s="37"/>
    </row>
    <row r="41" spans="1:27" ht="15.75" thickBot="1" x14ac:dyDescent="0.3">
      <c r="A41" s="3"/>
      <c r="G41" s="8"/>
      <c r="I41" s="235"/>
      <c r="J41" s="235"/>
      <c r="K41" s="235"/>
      <c r="L41" s="235"/>
      <c r="M41" s="235"/>
      <c r="N41" s="235"/>
      <c r="O41" s="235"/>
      <c r="R41" s="37"/>
      <c r="S41" s="37"/>
      <c r="T41" s="37"/>
      <c r="U41" s="37"/>
      <c r="V41" s="37"/>
      <c r="W41" s="37"/>
      <c r="X41" s="37"/>
    </row>
    <row r="42" spans="1:27" ht="20.25" thickBot="1" x14ac:dyDescent="0.35">
      <c r="A42" s="243" t="s">
        <v>12</v>
      </c>
      <c r="B42" s="244"/>
      <c r="C42" s="75"/>
      <c r="D42" s="75"/>
      <c r="E42" s="75"/>
      <c r="F42" s="75"/>
      <c r="G42" s="76">
        <f>SUM(G17:G26)+SUM(G28:G40)</f>
        <v>1565428</v>
      </c>
      <c r="H42" s="75"/>
      <c r="I42" s="75"/>
      <c r="J42" s="75"/>
      <c r="K42" s="75"/>
      <c r="L42" s="75"/>
      <c r="M42" s="75"/>
      <c r="N42" s="113">
        <f>N17+N18+N19+N20+N21+N22+N23+N24+N25+N26+N28+N29+N30+N32+N34+N36+N38+N40</f>
        <v>1623306.6666666665</v>
      </c>
      <c r="O42" s="114">
        <f>N42-G42</f>
        <v>57878.666666666511</v>
      </c>
      <c r="R42" s="37"/>
      <c r="S42" s="37"/>
      <c r="T42" s="37"/>
      <c r="U42" s="37"/>
      <c r="V42" s="37"/>
      <c r="W42" s="37"/>
      <c r="X42" s="37"/>
    </row>
    <row r="43" spans="1:27" x14ac:dyDescent="0.25">
      <c r="R43" s="37"/>
      <c r="S43" s="37"/>
      <c r="T43" s="37"/>
      <c r="U43" s="37"/>
      <c r="V43" s="37"/>
      <c r="W43" s="37"/>
      <c r="X43" s="37"/>
    </row>
    <row r="44" spans="1:27" x14ac:dyDescent="0.25">
      <c r="R44" s="37"/>
      <c r="S44" s="37"/>
      <c r="T44" s="37"/>
      <c r="U44" s="37"/>
      <c r="V44" s="37"/>
      <c r="W44" s="37"/>
      <c r="X44" s="37"/>
    </row>
    <row r="45" spans="1:27" ht="18.75" x14ac:dyDescent="0.25">
      <c r="A45" s="233" t="s">
        <v>13</v>
      </c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R45" s="37"/>
      <c r="S45" s="37"/>
      <c r="T45" s="37"/>
      <c r="U45" s="37"/>
      <c r="V45" s="37"/>
      <c r="W45" s="37"/>
      <c r="X45" s="37"/>
    </row>
    <row r="46" spans="1:27" ht="5.0999999999999996" customHeight="1" thickBot="1" x14ac:dyDescent="0.3">
      <c r="R46" s="37"/>
      <c r="S46" s="37"/>
      <c r="T46" s="37"/>
      <c r="U46" s="37"/>
      <c r="V46" s="37"/>
      <c r="W46" s="37"/>
      <c r="X46" s="37"/>
    </row>
    <row r="47" spans="1:27" ht="56.25" customHeight="1" x14ac:dyDescent="0.25">
      <c r="A47" s="264" t="s">
        <v>15</v>
      </c>
      <c r="B47" s="265"/>
      <c r="C47" s="40"/>
      <c r="D47" s="268" t="s">
        <v>21</v>
      </c>
      <c r="E47" s="269"/>
      <c r="F47" s="269"/>
      <c r="G47" s="270"/>
      <c r="H47" s="77"/>
      <c r="I47" s="177" t="s">
        <v>83</v>
      </c>
      <c r="J47" s="178"/>
      <c r="K47" s="178" t="s">
        <v>20</v>
      </c>
      <c r="L47" s="206"/>
      <c r="M47" s="78"/>
      <c r="N47" s="86" t="s">
        <v>86</v>
      </c>
      <c r="O47" s="258" t="s">
        <v>20</v>
      </c>
      <c r="P47" s="2"/>
      <c r="R47" s="37"/>
      <c r="S47" s="37"/>
      <c r="T47" s="37"/>
      <c r="U47" s="37"/>
      <c r="V47" s="37"/>
    </row>
    <row r="48" spans="1:27" ht="35.25" customHeight="1" thickBot="1" x14ac:dyDescent="0.3">
      <c r="A48" s="266"/>
      <c r="B48" s="267"/>
      <c r="C48" s="40"/>
      <c r="D48" s="261" t="str">
        <f>Koef!B3</f>
        <v>Zdaňovací období roku 2024</v>
      </c>
      <c r="E48" s="262"/>
      <c r="F48" s="262"/>
      <c r="G48" s="263"/>
      <c r="H48" s="77"/>
      <c r="I48" s="179" t="s">
        <v>72</v>
      </c>
      <c r="J48" s="180"/>
      <c r="K48" s="180"/>
      <c r="L48" s="223"/>
      <c r="M48" s="79"/>
      <c r="N48" s="80" t="s">
        <v>72</v>
      </c>
      <c r="O48" s="259"/>
      <c r="P48" s="2"/>
      <c r="R48" s="96"/>
      <c r="S48" s="96"/>
      <c r="T48" s="96"/>
      <c r="U48" s="96"/>
    </row>
    <row r="49" spans="1:21" ht="18" thickTop="1" x14ac:dyDescent="0.25">
      <c r="A49" s="186" t="s">
        <v>88</v>
      </c>
      <c r="B49" s="187"/>
      <c r="C49" s="40"/>
      <c r="D49" s="249">
        <f>150*B28*D28*F28</f>
        <v>1470</v>
      </c>
      <c r="E49" s="250"/>
      <c r="F49" s="250"/>
      <c r="G49" s="251"/>
      <c r="H49" s="40"/>
      <c r="I49" s="260">
        <f>150*B28*T28*F28</f>
        <v>1470</v>
      </c>
      <c r="J49" s="256"/>
      <c r="K49" s="256">
        <f>I49-D49</f>
        <v>0</v>
      </c>
      <c r="L49" s="257"/>
      <c r="M49" s="81"/>
      <c r="N49" s="93">
        <f>IF(R28=0,150*B28*I28*F28,150*B28*I28*R28)</f>
        <v>1470</v>
      </c>
      <c r="O49" s="82">
        <f t="shared" ref="O49:O57" si="4">N49-D49</f>
        <v>0</v>
      </c>
      <c r="R49" s="96"/>
      <c r="S49" s="96"/>
      <c r="T49" s="96"/>
      <c r="U49" s="96"/>
    </row>
    <row r="50" spans="1:21" ht="17.25" x14ac:dyDescent="0.25">
      <c r="A50" s="181" t="s">
        <v>89</v>
      </c>
      <c r="B50" s="182"/>
      <c r="C50" s="40"/>
      <c r="D50" s="183">
        <f>60*1.22*B29*D29*F29</f>
        <v>717.3599999999999</v>
      </c>
      <c r="E50" s="184"/>
      <c r="F50" s="184"/>
      <c r="G50" s="185"/>
      <c r="H50" s="40"/>
      <c r="I50" s="224">
        <f>60*1.22*B29*T29*F29</f>
        <v>717.3599999999999</v>
      </c>
      <c r="J50" s="225"/>
      <c r="K50" s="225">
        <f t="shared" ref="K50:K57" si="5">I50-D50</f>
        <v>0</v>
      </c>
      <c r="L50" s="254"/>
      <c r="M50" s="83"/>
      <c r="N50" s="91">
        <f>IF(R29=0,60*1.22*B29*I29*F29,60*1.22*B29*I29*R29)</f>
        <v>717.3599999999999</v>
      </c>
      <c r="O50" s="84">
        <f t="shared" si="4"/>
        <v>0</v>
      </c>
      <c r="S50" s="37"/>
      <c r="T50" s="37"/>
      <c r="U50" s="37"/>
    </row>
    <row r="51" spans="1:21" ht="17.25" x14ac:dyDescent="0.25">
      <c r="A51" s="181" t="s">
        <v>90</v>
      </c>
      <c r="B51" s="182"/>
      <c r="C51" s="40"/>
      <c r="D51" s="183">
        <f>1000*B17</f>
        <v>63.45</v>
      </c>
      <c r="E51" s="184"/>
      <c r="F51" s="184"/>
      <c r="G51" s="185">
        <f>1000*B17</f>
        <v>63.45</v>
      </c>
      <c r="H51" s="40"/>
      <c r="I51" s="224">
        <f>1000*B17</f>
        <v>63.45</v>
      </c>
      <c r="J51" s="225"/>
      <c r="K51" s="225">
        <f t="shared" si="5"/>
        <v>0</v>
      </c>
      <c r="L51" s="254"/>
      <c r="M51" s="83"/>
      <c r="N51" s="91">
        <f>IF(L17="",1000*B17*J17,1000*B17*L17)</f>
        <v>63.45</v>
      </c>
      <c r="O51" s="84">
        <f t="shared" si="4"/>
        <v>0</v>
      </c>
      <c r="S51" s="37"/>
      <c r="T51" s="37"/>
      <c r="U51" s="37"/>
    </row>
    <row r="52" spans="1:21" ht="15.75" x14ac:dyDescent="0.25">
      <c r="A52" s="228" t="s">
        <v>73</v>
      </c>
      <c r="B52" s="229"/>
      <c r="C52" s="40"/>
      <c r="D52" s="183">
        <f>10000*B17</f>
        <v>634.50000000000011</v>
      </c>
      <c r="E52" s="184"/>
      <c r="F52" s="184"/>
      <c r="G52" s="185">
        <f>1000*B18</f>
        <v>21.15</v>
      </c>
      <c r="H52" s="40"/>
      <c r="I52" s="224">
        <f>10000*B17</f>
        <v>634.50000000000011</v>
      </c>
      <c r="J52" s="225"/>
      <c r="K52" s="225">
        <f t="shared" si="5"/>
        <v>0</v>
      </c>
      <c r="L52" s="254"/>
      <c r="M52" s="83"/>
      <c r="N52" s="91">
        <f>IF(L17="",10000*B17*J17,10000*B17*L17)</f>
        <v>634.50000000000011</v>
      </c>
      <c r="O52" s="84">
        <f t="shared" si="4"/>
        <v>0</v>
      </c>
      <c r="S52" s="37"/>
      <c r="T52" s="37"/>
      <c r="U52" s="37"/>
    </row>
    <row r="53" spans="1:21" ht="17.25" x14ac:dyDescent="0.25">
      <c r="A53" s="181" t="s">
        <v>91</v>
      </c>
      <c r="B53" s="182"/>
      <c r="C53" s="40"/>
      <c r="D53" s="183">
        <f>20*B32*E32*F32</f>
        <v>870</v>
      </c>
      <c r="E53" s="184"/>
      <c r="F53" s="184"/>
      <c r="G53" s="185" t="e">
        <f>20*B32*D32*#REF!</f>
        <v>#VALUE!</v>
      </c>
      <c r="H53" s="40"/>
      <c r="I53" s="224">
        <f>20*B32*F32</f>
        <v>580</v>
      </c>
      <c r="J53" s="225"/>
      <c r="K53" s="225">
        <f t="shared" si="5"/>
        <v>-290</v>
      </c>
      <c r="L53" s="254"/>
      <c r="M53" s="83"/>
      <c r="N53" s="91">
        <f>IF(R32=0,20*B32*F32,20*B32*R32)</f>
        <v>870</v>
      </c>
      <c r="O53" s="84">
        <f t="shared" si="4"/>
        <v>0</v>
      </c>
      <c r="S53" s="37"/>
      <c r="T53" s="37"/>
      <c r="U53" s="37"/>
    </row>
    <row r="54" spans="1:21" ht="17.25" x14ac:dyDescent="0.25">
      <c r="A54" s="181" t="s">
        <v>92</v>
      </c>
      <c r="B54" s="182"/>
      <c r="C54" s="40"/>
      <c r="D54" s="183">
        <f>50*B30*E30*F30</f>
        <v>1650</v>
      </c>
      <c r="E54" s="184"/>
      <c r="F54" s="184"/>
      <c r="G54" s="185" t="e">
        <f>20*B34*D34*#REF!</f>
        <v>#VALUE!</v>
      </c>
      <c r="H54" s="40"/>
      <c r="I54" s="224">
        <f>50*B30*F30</f>
        <v>1100</v>
      </c>
      <c r="J54" s="225"/>
      <c r="K54" s="225">
        <f t="shared" si="5"/>
        <v>-550</v>
      </c>
      <c r="L54" s="254"/>
      <c r="M54" s="83"/>
      <c r="N54" s="91">
        <f>IF(R30=0,50*B30*F30,50*B30*R30)</f>
        <v>2750</v>
      </c>
      <c r="O54" s="84">
        <f t="shared" si="4"/>
        <v>1100</v>
      </c>
      <c r="S54" s="37"/>
      <c r="T54" s="37"/>
      <c r="U54" s="37"/>
    </row>
    <row r="55" spans="1:21" ht="17.25" x14ac:dyDescent="0.25">
      <c r="A55" s="181" t="s">
        <v>93</v>
      </c>
      <c r="B55" s="182"/>
      <c r="C55" s="40"/>
      <c r="D55" s="183">
        <f>200*B34*E34*F34</f>
        <v>2100</v>
      </c>
      <c r="E55" s="184"/>
      <c r="F55" s="184"/>
      <c r="G55" s="185" t="e">
        <f>20*B36*D36*#REF!</f>
        <v>#VALUE!</v>
      </c>
      <c r="H55" s="40"/>
      <c r="I55" s="224">
        <f>200*B34*F34</f>
        <v>1400</v>
      </c>
      <c r="J55" s="225"/>
      <c r="K55" s="225">
        <f t="shared" si="5"/>
        <v>-700</v>
      </c>
      <c r="L55" s="254"/>
      <c r="M55" s="83"/>
      <c r="N55" s="91">
        <f>IF(R34=0,200*B34*F34,200*B34*R34)</f>
        <v>2100</v>
      </c>
      <c r="O55" s="84">
        <f t="shared" si="4"/>
        <v>0</v>
      </c>
      <c r="S55" s="37"/>
      <c r="T55" s="37"/>
      <c r="U55" s="37"/>
    </row>
    <row r="56" spans="1:21" ht="17.25" x14ac:dyDescent="0.25">
      <c r="A56" s="181" t="s">
        <v>94</v>
      </c>
      <c r="B56" s="182"/>
      <c r="C56" s="40"/>
      <c r="D56" s="183">
        <f>200*B36*E36*F36</f>
        <v>10800</v>
      </c>
      <c r="E56" s="184"/>
      <c r="F56" s="184"/>
      <c r="G56" s="185" t="e">
        <f>20*B38*D38*#REF!</f>
        <v>#VALUE!</v>
      </c>
      <c r="H56" s="40"/>
      <c r="I56" s="224">
        <f>200*B36*F36</f>
        <v>7200</v>
      </c>
      <c r="J56" s="225"/>
      <c r="K56" s="225">
        <f t="shared" si="5"/>
        <v>-3600</v>
      </c>
      <c r="L56" s="254"/>
      <c r="M56" s="83"/>
      <c r="N56" s="91">
        <f>IF(R36=0,200*B36*F36,200*B36*R36)</f>
        <v>10800</v>
      </c>
      <c r="O56" s="84">
        <f t="shared" si="4"/>
        <v>0</v>
      </c>
    </row>
    <row r="57" spans="1:21" ht="18" thickBot="1" x14ac:dyDescent="0.3">
      <c r="A57" s="226" t="s">
        <v>95</v>
      </c>
      <c r="B57" s="227"/>
      <c r="C57" s="40"/>
      <c r="D57" s="230">
        <f>200*B38*E38*F38</f>
        <v>10800</v>
      </c>
      <c r="E57" s="231"/>
      <c r="F57" s="231"/>
      <c r="G57" s="232" t="e">
        <f>20*B40*D40*#REF!</f>
        <v>#VALUE!</v>
      </c>
      <c r="H57" s="40"/>
      <c r="I57" s="252">
        <f>200*B38*F38</f>
        <v>7200</v>
      </c>
      <c r="J57" s="253"/>
      <c r="K57" s="253">
        <f t="shared" si="5"/>
        <v>-3600</v>
      </c>
      <c r="L57" s="255"/>
      <c r="M57" s="83"/>
      <c r="N57" s="92">
        <f>IF(R38=0,200*B38*F38,200*B38*R38)</f>
        <v>10800</v>
      </c>
      <c r="O57" s="85">
        <f t="shared" si="4"/>
        <v>0</v>
      </c>
    </row>
  </sheetData>
  <sheetProtection algorithmName="SHA-512" hashValue="6Zw9zqxhzPPCV7TqEk48Nh6/oxwREHecRSvTZwrdtx4IkTL0tPtwsGsQjO+Fz5/lmN8wEy2WUBxlbt9teLHzhw==" saltValue="2tfHHABkrZS65g7h/FDr0A==" spinCount="100000" sheet="1" objects="1" scenarios="1"/>
  <dataConsolidate/>
  <mergeCells count="136">
    <mergeCell ref="D49:G49"/>
    <mergeCell ref="B32:B33"/>
    <mergeCell ref="B34:B35"/>
    <mergeCell ref="B36:B37"/>
    <mergeCell ref="R30:R31"/>
    <mergeCell ref="I55:J55"/>
    <mergeCell ref="I56:J56"/>
    <mergeCell ref="I57:J57"/>
    <mergeCell ref="K53:L53"/>
    <mergeCell ref="K54:L54"/>
    <mergeCell ref="K55:L55"/>
    <mergeCell ref="K56:L56"/>
    <mergeCell ref="K57:L57"/>
    <mergeCell ref="I54:J54"/>
    <mergeCell ref="K49:L49"/>
    <mergeCell ref="K50:L50"/>
    <mergeCell ref="K51:L51"/>
    <mergeCell ref="K52:L52"/>
    <mergeCell ref="O47:O48"/>
    <mergeCell ref="I49:J49"/>
    <mergeCell ref="K47:L48"/>
    <mergeCell ref="D48:G48"/>
    <mergeCell ref="A47:B48"/>
    <mergeCell ref="D47:G47"/>
    <mergeCell ref="I30:I31"/>
    <mergeCell ref="A45:P45"/>
    <mergeCell ref="I41:O41"/>
    <mergeCell ref="D30:D31"/>
    <mergeCell ref="P30:P31"/>
    <mergeCell ref="D15:F15"/>
    <mergeCell ref="G15:G16"/>
    <mergeCell ref="E30:E31"/>
    <mergeCell ref="F30:F31"/>
    <mergeCell ref="A42:B42"/>
    <mergeCell ref="G30:G31"/>
    <mergeCell ref="A30:A31"/>
    <mergeCell ref="K36:K37"/>
    <mergeCell ref="K38:K39"/>
    <mergeCell ref="L32:L33"/>
    <mergeCell ref="L34:L35"/>
    <mergeCell ref="L36:L37"/>
    <mergeCell ref="L38:L39"/>
    <mergeCell ref="B38:B39"/>
    <mergeCell ref="J32:J33"/>
    <mergeCell ref="J34:J35"/>
    <mergeCell ref="D32:D33"/>
    <mergeCell ref="F32:F33"/>
    <mergeCell ref="A32:A33"/>
    <mergeCell ref="I52:J52"/>
    <mergeCell ref="I53:J53"/>
    <mergeCell ref="A57:B57"/>
    <mergeCell ref="A50:B50"/>
    <mergeCell ref="A51:B51"/>
    <mergeCell ref="A53:B53"/>
    <mergeCell ref="A54:B54"/>
    <mergeCell ref="A52:B52"/>
    <mergeCell ref="D56:G56"/>
    <mergeCell ref="D57:G57"/>
    <mergeCell ref="A55:B55"/>
    <mergeCell ref="D53:G53"/>
    <mergeCell ref="D55:G55"/>
    <mergeCell ref="D50:G50"/>
    <mergeCell ref="I50:J50"/>
    <mergeCell ref="I51:J51"/>
    <mergeCell ref="I47:J47"/>
    <mergeCell ref="I48:J48"/>
    <mergeCell ref="A56:B56"/>
    <mergeCell ref="D52:G52"/>
    <mergeCell ref="D54:G54"/>
    <mergeCell ref="D51:G51"/>
    <mergeCell ref="A49:B49"/>
    <mergeCell ref="A1:P1"/>
    <mergeCell ref="A3:P3"/>
    <mergeCell ref="B5:G5"/>
    <mergeCell ref="A9:P9"/>
    <mergeCell ref="I14:L14"/>
    <mergeCell ref="I13:K13"/>
    <mergeCell ref="I12:O12"/>
    <mergeCell ref="I11:O11"/>
    <mergeCell ref="A11:A16"/>
    <mergeCell ref="B11:B16"/>
    <mergeCell ref="D11:G14"/>
    <mergeCell ref="N13:N16"/>
    <mergeCell ref="B7:G7"/>
    <mergeCell ref="I15:I16"/>
    <mergeCell ref="O13:O16"/>
    <mergeCell ref="K32:K33"/>
    <mergeCell ref="K34:K35"/>
    <mergeCell ref="Q30:Q31"/>
    <mergeCell ref="J17:K17"/>
    <mergeCell ref="J18:K18"/>
    <mergeCell ref="J19:K19"/>
    <mergeCell ref="N30:N31"/>
    <mergeCell ref="O30:O31"/>
    <mergeCell ref="J30:J31"/>
    <mergeCell ref="L15:L16"/>
    <mergeCell ref="L30:L31"/>
    <mergeCell ref="K30:K31"/>
    <mergeCell ref="M13:M16"/>
    <mergeCell ref="M17:M26"/>
    <mergeCell ref="M28:M40"/>
    <mergeCell ref="R32:R33"/>
    <mergeCell ref="N32:N33"/>
    <mergeCell ref="O32:O33"/>
    <mergeCell ref="O34:O35"/>
    <mergeCell ref="O36:O37"/>
    <mergeCell ref="O38:O39"/>
    <mergeCell ref="R34:R35"/>
    <mergeCell ref="R36:R37"/>
    <mergeCell ref="R38:R39"/>
    <mergeCell ref="N34:N35"/>
    <mergeCell ref="N36:N37"/>
    <mergeCell ref="N38:N39"/>
    <mergeCell ref="P32:P33"/>
    <mergeCell ref="Q32:Q33"/>
    <mergeCell ref="P34:P35"/>
    <mergeCell ref="Q34:Q35"/>
    <mergeCell ref="P36:P37"/>
    <mergeCell ref="Q36:Q37"/>
    <mergeCell ref="I32:I33"/>
    <mergeCell ref="I34:I35"/>
    <mergeCell ref="I36:I37"/>
    <mergeCell ref="I38:I39"/>
    <mergeCell ref="J36:J37"/>
    <mergeCell ref="J38:J39"/>
    <mergeCell ref="P38:P39"/>
    <mergeCell ref="Q38:Q39"/>
    <mergeCell ref="A34:A35"/>
    <mergeCell ref="A36:A37"/>
    <mergeCell ref="A38:A39"/>
    <mergeCell ref="F34:F35"/>
    <mergeCell ref="F36:F37"/>
    <mergeCell ref="D34:D35"/>
    <mergeCell ref="D36:D37"/>
    <mergeCell ref="D38:D39"/>
    <mergeCell ref="F38:F39"/>
  </mergeCells>
  <conditionalFormatting sqref="J20:J26">
    <cfRule type="expression" dxfId="47" priority="41">
      <formula>IF(L20="",IF(K20="",J20,"NIC"))</formula>
    </cfRule>
  </conditionalFormatting>
  <conditionalFormatting sqref="L20:L26">
    <cfRule type="expression" dxfId="46" priority="43">
      <formula>IF(L20&gt;$K$7,L20,"NIC")</formula>
    </cfRule>
  </conditionalFormatting>
  <conditionalFormatting sqref="L28:L32 L34 L36 L38 L40">
    <cfRule type="expression" dxfId="45" priority="54">
      <formula>IF(L28&gt;$K$7,L28,"NIC")</formula>
    </cfRule>
  </conditionalFormatting>
  <conditionalFormatting sqref="K20:K26">
    <cfRule type="expression" dxfId="44" priority="6">
      <formula>IF(K20&gt;=L20,K20,"NIC")</formula>
    </cfRule>
  </conditionalFormatting>
  <conditionalFormatting sqref="J28:J30">
    <cfRule type="expression" dxfId="43" priority="5">
      <formula>IF(L28="",IF(K28="",J28,"NIC"))</formula>
    </cfRule>
  </conditionalFormatting>
  <conditionalFormatting sqref="K28:K32 K34 K36 K38 K40">
    <cfRule type="expression" dxfId="42" priority="4">
      <formula>IF(K28&gt;=L28,K28,"NIC")</formula>
    </cfRule>
  </conditionalFormatting>
  <conditionalFormatting sqref="J32 J34 J36 J38 J40">
    <cfRule type="expression" dxfId="41" priority="2">
      <formula>IF(L32="",IF(K32="",J32,"NIC"))</formula>
    </cfRule>
  </conditionalFormatting>
  <conditionalFormatting sqref="L17:L19">
    <cfRule type="cellIs" dxfId="40" priority="1" operator="greaterThan">
      <formula>0</formula>
    </cfRule>
  </conditionalFormatting>
  <pageMargins left="0.7" right="0.7" top="0.78740157499999996" bottom="0.78740157499999996" header="0.3" footer="0.3"/>
  <pageSetup paperSize="8" scale="80" orientation="landscape" horizontalDpi="4294967293" r:id="rId1"/>
  <ignoredErrors>
    <ignoredError sqref="N2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5" r:id="rId4" name="Button 31">
              <controlPr defaultSize="0" print="0" autoFill="0" autoPict="0" macro="[0]!makro_2024_obec">
                <anchor moveWithCells="1" sizeWithCells="1">
                  <from>
                    <xdr:col>15</xdr:col>
                    <xdr:colOff>47625</xdr:colOff>
                    <xdr:row>13</xdr:row>
                    <xdr:rowOff>9525</xdr:rowOff>
                  </from>
                  <to>
                    <xdr:col>16</xdr:col>
                    <xdr:colOff>2133600</xdr:colOff>
                    <xdr:row>14</xdr:row>
                    <xdr:rowOff>685800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9000000}">
          <x14:formula1>
            <xm:f>IF(VLOOKUP(#REF!,Obce_vynos!#REF!,3,FALSE)&lt;=1000,Koef!$I$11:$J$11,Koef!$I$12:$K$12)</xm:f>
          </x14:formula1>
          <xm:sqref>G80</xm:sqref>
        </x14:dataValidation>
        <x14:dataValidation type="list" allowBlank="1" showInputMessage="1" showErrorMessage="1" xr:uid="{177D56B6-90FF-4512-9105-9AFC9A13CC78}">
          <x14:formula1>
            <xm:f>IF(O5&lt;=1000,Koef!$I$11:$J$11,IF(O5&lt;=6000,Koef!$J$12:$K$12,IF(O5&lt;=10000,Koef!$K$13:$L$13,IF(O5&lt;=25000,Koef!$L$14:$M$14,IF(O5&lt;=50000,Koef!$L$15:$M$15,Koef!$L$16:$M$16)))))</xm:f>
          </x14:formula1>
          <xm:sqref>I22</xm:sqref>
        </x14:dataValidation>
        <x14:dataValidation type="list" allowBlank="1" showInputMessage="1" showErrorMessage="1" xr:uid="{0038A1E0-EE99-464D-92B5-6CFC481846C4}">
          <x14:formula1>
            <xm:f>Koef!$Q$12:$Q$58</xm:f>
          </x14:formula1>
          <xm:sqref>L28:L30 L20:L26 L32 L34 L36 L38 L40</xm:sqref>
        </x14:dataValidation>
        <x14:dataValidation type="list" allowBlank="1" showInputMessage="1" showErrorMessage="1" xr:uid="{B2971E26-6D5F-4591-ACF5-E6A872EB65AB}">
          <x14:formula1>
            <xm:f>Koef!$R$12:$R$23</xm:f>
          </x14:formula1>
          <xm:sqref>L17:L19</xm:sqref>
        </x14:dataValidation>
        <x14:dataValidation type="list" allowBlank="1" showInputMessage="1" showErrorMessage="1" xr:uid="{CCFA90D3-826E-48BC-BA97-1EE680504013}">
          <x14:formula1>
            <xm:f>Koef!$S$12:$S$58</xm:f>
          </x14:formula1>
          <xm:sqref>J16:K16</xm:sqref>
        </x14:dataValidation>
        <x14:dataValidation type="list" allowBlank="1" showInputMessage="1" showErrorMessage="1" xr:uid="{A40508B6-2694-41F5-AB80-9486D64C3909}">
          <x14:formula1>
            <xm:f>IF(O5&lt;=1000,Koef!$I$11:$J$11,IF(O5&lt;=6000,Koef!$J$12:$K$12,IF(O5&lt;=10000,Koef!$K$13:$L$13,IF(O5&lt;=25000,Koef!$L$14:$M$14,IF(O5&lt;=50000,Koef!$L$15:$M$15,Koef!$L$16:$M$16)))))</xm:f>
          </x14:formula1>
          <xm:sqref>I28</xm:sqref>
        </x14:dataValidation>
        <x14:dataValidation type="list" allowBlank="1" showInputMessage="1" showErrorMessage="1" xr:uid="{364631C2-75AD-4623-BFF1-113D45C7FFFF}">
          <x14:formula1>
            <xm:f>IF(O5&lt;=1000,Koef!$I$11:$J$11,IF(O5&lt;=6000,Koef!$J$12:$K$12,IF(O5&lt;=10000,Koef!$K$13:$L$13,IF(O5&lt;=25000,Koef!$L$14:$M$14,IF(O5&lt;=50000,Koef!$L$15:$M$15,Koef!$L$16:$M$16)))))</xm:f>
          </x14:formula1>
          <xm:sqref>I29</xm:sqref>
        </x14:dataValidation>
        <x14:dataValidation type="list" allowBlank="1" showInputMessage="1" showErrorMessage="1" xr:uid="{00000000-0002-0000-0000-000008000000}">
          <x14:formula1>
            <xm:f>Obce_s_KU!$A$2:$A$1150</xm:f>
          </x14:formula1>
          <xm:sqref>B5:G5</xm:sqref>
        </x14:dataValidation>
        <x14:dataValidation type="list" allowBlank="1" showInputMessage="1" showErrorMessage="1" xr:uid="{63E0B890-B4B3-4C63-8792-249AC9F041A6}">
          <x14:formula1>
            <xm:f>INDIRECT(VLOOKUP(B5,Obce_s_KU!A2:B1150,2,FALSE))</xm:f>
          </x14:formula1>
          <xm:sqref>B7:G7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4">
    <pageSetUpPr fitToPage="1"/>
  </sheetPr>
  <dimension ref="B3:S58"/>
  <sheetViews>
    <sheetView workbookViewId="0"/>
  </sheetViews>
  <sheetFormatPr defaultRowHeight="15" x14ac:dyDescent="0.25"/>
  <cols>
    <col min="2" max="2" width="29.140625" customWidth="1"/>
    <col min="3" max="3" width="1.42578125" style="12" customWidth="1"/>
    <col min="4" max="4" width="1.5703125" customWidth="1"/>
    <col min="5" max="5" width="15.42578125" style="12" customWidth="1"/>
    <col min="6" max="6" width="5.28515625" style="12" customWidth="1"/>
    <col min="7" max="7" width="1.5703125" style="12" customWidth="1"/>
    <col min="8" max="8" width="15.42578125" style="12" customWidth="1"/>
    <col min="9" max="13" width="5.28515625" style="12" customWidth="1"/>
    <col min="14" max="14" width="1.5703125" customWidth="1"/>
    <col min="15" max="15" width="13.28515625" style="11" customWidth="1"/>
    <col min="16" max="16" width="1.5703125" customWidth="1"/>
    <col min="17" max="17" width="29.28515625" style="22" customWidth="1"/>
    <col min="19" max="19" width="17" customWidth="1"/>
  </cols>
  <sheetData>
    <row r="3" spans="2:19" x14ac:dyDescent="0.25">
      <c r="B3" t="s">
        <v>71</v>
      </c>
      <c r="C3"/>
    </row>
    <row r="4" spans="2:19" x14ac:dyDescent="0.25">
      <c r="C4"/>
    </row>
    <row r="5" spans="2:19" x14ac:dyDescent="0.25">
      <c r="C5"/>
      <c r="D5" s="9"/>
    </row>
    <row r="6" spans="2:19" x14ac:dyDescent="0.25">
      <c r="C6"/>
    </row>
    <row r="7" spans="2:19" x14ac:dyDescent="0.25">
      <c r="C7"/>
    </row>
    <row r="8" spans="2:19" x14ac:dyDescent="0.25">
      <c r="C8"/>
      <c r="D8" s="10"/>
    </row>
    <row r="9" spans="2:19" ht="48" customHeight="1" x14ac:dyDescent="0.25">
      <c r="C9"/>
      <c r="D9" s="1"/>
      <c r="E9" s="271" t="s">
        <v>53</v>
      </c>
      <c r="F9" s="272"/>
      <c r="G9" s="26"/>
      <c r="H9" s="271" t="s">
        <v>54</v>
      </c>
      <c r="I9" s="275"/>
      <c r="J9" s="275"/>
      <c r="K9" s="275"/>
      <c r="L9" s="275"/>
      <c r="M9" s="272"/>
      <c r="N9" s="1"/>
      <c r="O9" s="23" t="s">
        <v>52</v>
      </c>
      <c r="P9" s="1"/>
      <c r="Q9" s="273" t="s">
        <v>44</v>
      </c>
      <c r="R9" s="273"/>
      <c r="S9" s="273"/>
    </row>
    <row r="10" spans="2:19" s="11" customFormat="1" ht="45.75" thickBot="1" x14ac:dyDescent="0.3">
      <c r="D10" s="2"/>
      <c r="E10" s="25" t="s">
        <v>25</v>
      </c>
      <c r="F10" s="25" t="s">
        <v>35</v>
      </c>
      <c r="G10" s="2"/>
      <c r="H10" s="24" t="s">
        <v>25</v>
      </c>
      <c r="I10" s="271" t="s">
        <v>101</v>
      </c>
      <c r="J10" s="275"/>
      <c r="K10" s="275"/>
      <c r="L10" s="275"/>
      <c r="M10" s="272"/>
      <c r="N10" s="2"/>
      <c r="O10" s="16" t="s">
        <v>43</v>
      </c>
      <c r="P10" s="2"/>
      <c r="Q10" s="274" t="s">
        <v>43</v>
      </c>
      <c r="R10" s="274"/>
      <c r="S10" s="274"/>
    </row>
    <row r="11" spans="2:19" ht="15.75" customHeight="1" thickTop="1" x14ac:dyDescent="0.25">
      <c r="B11" s="11"/>
      <c r="C11" s="11"/>
      <c r="E11" s="19" t="s">
        <v>36</v>
      </c>
      <c r="F11" s="28">
        <v>1</v>
      </c>
      <c r="G11" s="27"/>
      <c r="H11" s="14" t="s">
        <v>36</v>
      </c>
      <c r="I11" s="30">
        <v>1</v>
      </c>
      <c r="J11" s="31">
        <v>1.4</v>
      </c>
      <c r="K11" s="31"/>
      <c r="L11" s="31"/>
      <c r="M11" s="31"/>
      <c r="O11" s="21">
        <v>1</v>
      </c>
      <c r="Q11" s="102" t="s">
        <v>45</v>
      </c>
      <c r="R11" s="13" t="s">
        <v>70</v>
      </c>
      <c r="S11" s="13" t="s">
        <v>102</v>
      </c>
    </row>
    <row r="12" spans="2:19" ht="15.75" customHeight="1" x14ac:dyDescent="0.25">
      <c r="B12" s="11"/>
      <c r="C12" s="11"/>
      <c r="E12" s="14" t="s">
        <v>37</v>
      </c>
      <c r="F12" s="29">
        <v>1.4</v>
      </c>
      <c r="H12" s="14" t="s">
        <v>37</v>
      </c>
      <c r="I12" s="31"/>
      <c r="J12" s="30">
        <v>1.4</v>
      </c>
      <c r="K12" s="14">
        <v>1.6</v>
      </c>
      <c r="L12" s="14"/>
      <c r="M12" s="14"/>
      <c r="O12" s="20"/>
      <c r="Q12" s="20"/>
      <c r="R12" s="14"/>
      <c r="S12" s="20" t="s">
        <v>97</v>
      </c>
    </row>
    <row r="13" spans="2:19" x14ac:dyDescent="0.25">
      <c r="B13" s="11"/>
      <c r="C13" s="11"/>
      <c r="E13" s="14" t="s">
        <v>38</v>
      </c>
      <c r="F13" s="29">
        <v>1.6</v>
      </c>
      <c r="H13" s="14" t="s">
        <v>38</v>
      </c>
      <c r="I13" s="31"/>
      <c r="J13" s="31"/>
      <c r="K13" s="29">
        <v>1.6</v>
      </c>
      <c r="L13" s="31">
        <v>2</v>
      </c>
      <c r="M13" s="14"/>
      <c r="Q13" s="103">
        <v>0.5</v>
      </c>
      <c r="R13" s="103">
        <v>0.5</v>
      </c>
      <c r="S13" s="103">
        <v>0.5</v>
      </c>
    </row>
    <row r="14" spans="2:19" x14ac:dyDescent="0.25">
      <c r="B14" s="11"/>
      <c r="C14" s="11"/>
      <c r="E14" s="14" t="s">
        <v>39</v>
      </c>
      <c r="F14" s="30">
        <v>2</v>
      </c>
      <c r="G14" s="27"/>
      <c r="H14" s="14" t="s">
        <v>39</v>
      </c>
      <c r="I14" s="31"/>
      <c r="J14" s="31"/>
      <c r="K14" s="31"/>
      <c r="L14" s="30">
        <v>2</v>
      </c>
      <c r="M14" s="31">
        <v>2.5</v>
      </c>
      <c r="Q14" s="103">
        <v>0.6</v>
      </c>
      <c r="R14" s="103">
        <v>0.6</v>
      </c>
      <c r="S14" s="103">
        <v>0.6</v>
      </c>
    </row>
    <row r="15" spans="2:19" x14ac:dyDescent="0.25">
      <c r="B15" s="11"/>
      <c r="C15" s="11"/>
      <c r="E15" s="14" t="s">
        <v>40</v>
      </c>
      <c r="F15" s="29">
        <v>2.5</v>
      </c>
      <c r="H15" s="14" t="s">
        <v>40</v>
      </c>
      <c r="I15" s="14"/>
      <c r="J15" s="14"/>
      <c r="K15" s="14"/>
      <c r="L15" s="29">
        <v>2.5</v>
      </c>
      <c r="M15" s="14">
        <v>3.5</v>
      </c>
      <c r="Q15" s="103">
        <v>0.7</v>
      </c>
      <c r="R15" s="103">
        <v>0.7</v>
      </c>
      <c r="S15" s="103">
        <v>0.7</v>
      </c>
    </row>
    <row r="16" spans="2:19" x14ac:dyDescent="0.25">
      <c r="B16" s="11"/>
      <c r="C16" s="11"/>
      <c r="E16" s="14" t="s">
        <v>41</v>
      </c>
      <c r="F16" s="29">
        <v>3.5</v>
      </c>
      <c r="H16" s="14" t="s">
        <v>41</v>
      </c>
      <c r="I16" s="14"/>
      <c r="J16" s="31"/>
      <c r="K16" s="14"/>
      <c r="L16" s="29">
        <v>3.5</v>
      </c>
      <c r="M16" s="14">
        <v>4.5</v>
      </c>
      <c r="Q16" s="103">
        <v>0.8</v>
      </c>
      <c r="R16" s="103">
        <v>0.8</v>
      </c>
      <c r="S16" s="103">
        <v>0.8</v>
      </c>
    </row>
    <row r="17" spans="2:19" x14ac:dyDescent="0.25">
      <c r="B17" s="11"/>
      <c r="C17" s="11"/>
      <c r="E17" s="14" t="s">
        <v>42</v>
      </c>
      <c r="F17" s="29">
        <v>4.5</v>
      </c>
      <c r="H17" s="14" t="s">
        <v>42</v>
      </c>
      <c r="I17" s="31"/>
      <c r="J17" s="14"/>
      <c r="K17" s="14"/>
      <c r="L17" s="29">
        <v>4.5</v>
      </c>
      <c r="M17" s="31">
        <v>5</v>
      </c>
      <c r="Q17" s="103">
        <v>0.9</v>
      </c>
      <c r="R17" s="103">
        <v>0.9</v>
      </c>
      <c r="S17" s="103">
        <v>0.9</v>
      </c>
    </row>
    <row r="18" spans="2:19" x14ac:dyDescent="0.25">
      <c r="B18" s="11"/>
      <c r="C18" s="11"/>
      <c r="Q18" s="103">
        <v>1</v>
      </c>
      <c r="R18" s="103">
        <v>1</v>
      </c>
      <c r="S18" s="103">
        <v>1</v>
      </c>
    </row>
    <row r="19" spans="2:19" x14ac:dyDescent="0.25">
      <c r="B19" s="11"/>
      <c r="C19" s="11"/>
      <c r="G19" s="26"/>
      <c r="H19" s="26"/>
      <c r="I19" s="26"/>
      <c r="J19" s="26"/>
      <c r="K19" s="26"/>
      <c r="L19" s="26"/>
      <c r="M19" s="26"/>
      <c r="Q19" s="103">
        <v>1.1000000000000001</v>
      </c>
      <c r="R19" s="103">
        <v>1.1000000000000001</v>
      </c>
      <c r="S19" s="103">
        <v>1.1000000000000001</v>
      </c>
    </row>
    <row r="20" spans="2:19" x14ac:dyDescent="0.25">
      <c r="B20" s="11"/>
      <c r="C20" s="11"/>
      <c r="G20" s="2"/>
      <c r="H20" s="2"/>
      <c r="I20" s="2"/>
      <c r="J20" s="2"/>
      <c r="K20" s="2"/>
      <c r="L20" s="2"/>
      <c r="M20" s="2"/>
      <c r="Q20" s="103">
        <v>1.2</v>
      </c>
      <c r="R20" s="103">
        <v>1.2</v>
      </c>
      <c r="S20" s="103">
        <v>1.2</v>
      </c>
    </row>
    <row r="21" spans="2:19" x14ac:dyDescent="0.25">
      <c r="B21" s="11"/>
      <c r="C21" s="11"/>
      <c r="G21" s="27"/>
      <c r="H21" s="27"/>
      <c r="I21" s="27"/>
      <c r="J21" s="27"/>
      <c r="K21" s="27"/>
      <c r="L21" s="27"/>
      <c r="M21" s="27"/>
      <c r="Q21" s="103">
        <v>1.3</v>
      </c>
      <c r="R21" s="103">
        <v>1.3</v>
      </c>
      <c r="S21" s="103">
        <v>1.3</v>
      </c>
    </row>
    <row r="22" spans="2:19" x14ac:dyDescent="0.25">
      <c r="B22" s="11"/>
      <c r="C22" s="11"/>
      <c r="Q22" s="103">
        <v>1.4</v>
      </c>
      <c r="R22" s="103">
        <v>1.4</v>
      </c>
      <c r="S22" s="103">
        <v>1.4</v>
      </c>
    </row>
    <row r="23" spans="2:19" x14ac:dyDescent="0.25">
      <c r="B23" s="11"/>
      <c r="C23" s="11"/>
      <c r="Q23" s="103">
        <v>1.5</v>
      </c>
      <c r="R23" s="103">
        <v>1.5</v>
      </c>
      <c r="S23" s="103">
        <v>1.5</v>
      </c>
    </row>
    <row r="24" spans="2:19" x14ac:dyDescent="0.25">
      <c r="B24" s="11"/>
      <c r="C24" s="11"/>
      <c r="G24" s="27"/>
      <c r="H24" s="27"/>
      <c r="I24" s="27"/>
      <c r="J24" s="27"/>
      <c r="K24" s="27"/>
      <c r="L24" s="27"/>
      <c r="M24" s="27"/>
      <c r="Q24" s="103">
        <v>1.6</v>
      </c>
      <c r="R24" s="104"/>
      <c r="S24" s="103">
        <v>1.6</v>
      </c>
    </row>
    <row r="25" spans="2:19" x14ac:dyDescent="0.25">
      <c r="B25" s="11"/>
      <c r="C25" s="11"/>
      <c r="Q25" s="103">
        <v>1.7</v>
      </c>
      <c r="R25" s="105"/>
      <c r="S25" s="103">
        <v>1.7</v>
      </c>
    </row>
    <row r="26" spans="2:19" x14ac:dyDescent="0.25">
      <c r="B26" s="11"/>
      <c r="C26" s="11"/>
      <c r="Q26" s="103">
        <v>1.8</v>
      </c>
      <c r="R26" s="105"/>
      <c r="S26" s="103">
        <v>1.8</v>
      </c>
    </row>
    <row r="27" spans="2:19" x14ac:dyDescent="0.25">
      <c r="B27" s="11"/>
      <c r="C27" s="11"/>
      <c r="Q27" s="103">
        <v>1.9</v>
      </c>
      <c r="R27" s="105"/>
      <c r="S27" s="103">
        <v>1.9</v>
      </c>
    </row>
    <row r="28" spans="2:19" x14ac:dyDescent="0.25">
      <c r="B28" s="11"/>
      <c r="C28" s="11"/>
      <c r="Q28" s="103">
        <v>2</v>
      </c>
      <c r="R28" s="105"/>
      <c r="S28" s="103">
        <v>2</v>
      </c>
    </row>
    <row r="29" spans="2:19" x14ac:dyDescent="0.25">
      <c r="B29" s="11"/>
      <c r="C29" s="11"/>
      <c r="Q29" s="103">
        <v>2.1</v>
      </c>
      <c r="R29" s="105"/>
      <c r="S29" s="103">
        <v>2.1</v>
      </c>
    </row>
    <row r="30" spans="2:19" ht="15.75" customHeight="1" x14ac:dyDescent="0.25">
      <c r="B30" s="11"/>
      <c r="C30" s="11"/>
      <c r="Q30" s="103">
        <v>2.2000000000000002</v>
      </c>
      <c r="R30" s="105"/>
      <c r="S30" s="103">
        <v>2.2000000000000002</v>
      </c>
    </row>
    <row r="31" spans="2:19" x14ac:dyDescent="0.25">
      <c r="B31" s="11"/>
      <c r="C31" s="11"/>
      <c r="Q31" s="103">
        <v>2.2999999999999998</v>
      </c>
      <c r="R31" s="105"/>
      <c r="S31" s="103">
        <v>2.2999999999999998</v>
      </c>
    </row>
    <row r="32" spans="2:19" x14ac:dyDescent="0.25">
      <c r="B32" s="11"/>
      <c r="C32" s="11"/>
      <c r="Q32" s="103">
        <v>2.4</v>
      </c>
      <c r="R32" s="105"/>
      <c r="S32" s="103">
        <v>2.4</v>
      </c>
    </row>
    <row r="33" spans="2:19" x14ac:dyDescent="0.25">
      <c r="B33" s="11"/>
      <c r="C33" s="11"/>
      <c r="Q33" s="103">
        <v>2.5</v>
      </c>
      <c r="R33" s="105"/>
      <c r="S33" s="103">
        <v>2.5</v>
      </c>
    </row>
    <row r="34" spans="2:19" x14ac:dyDescent="0.25">
      <c r="B34" s="11"/>
      <c r="C34" s="11"/>
      <c r="Q34" s="103">
        <v>2.6</v>
      </c>
      <c r="R34" s="105"/>
      <c r="S34" s="103">
        <v>2.6</v>
      </c>
    </row>
    <row r="35" spans="2:19" x14ac:dyDescent="0.25">
      <c r="B35" s="11"/>
      <c r="C35" s="11"/>
      <c r="Q35" s="103">
        <v>2.7</v>
      </c>
      <c r="R35" s="105"/>
      <c r="S35" s="103">
        <v>2.7</v>
      </c>
    </row>
    <row r="36" spans="2:19" x14ac:dyDescent="0.25">
      <c r="B36" s="11"/>
      <c r="C36" s="11"/>
      <c r="Q36" s="103">
        <v>2.8</v>
      </c>
      <c r="R36" s="105"/>
      <c r="S36" s="103">
        <v>2.8</v>
      </c>
    </row>
    <row r="37" spans="2:19" x14ac:dyDescent="0.25">
      <c r="B37" s="11"/>
      <c r="C37" s="11"/>
      <c r="Q37" s="103">
        <v>2.9</v>
      </c>
      <c r="R37" s="105"/>
      <c r="S37" s="103">
        <v>2.9</v>
      </c>
    </row>
    <row r="38" spans="2:19" x14ac:dyDescent="0.25">
      <c r="B38" s="11"/>
      <c r="C38" s="11"/>
      <c r="Q38" s="103">
        <v>3</v>
      </c>
      <c r="R38" s="105"/>
      <c r="S38" s="103">
        <v>3</v>
      </c>
    </row>
    <row r="39" spans="2:19" x14ac:dyDescent="0.25">
      <c r="B39" s="11"/>
      <c r="C39" s="11"/>
      <c r="Q39" s="103">
        <v>3.1</v>
      </c>
      <c r="R39" s="105"/>
      <c r="S39" s="103">
        <v>3.1</v>
      </c>
    </row>
    <row r="40" spans="2:19" x14ac:dyDescent="0.25">
      <c r="B40" s="11"/>
      <c r="C40" s="11"/>
      <c r="Q40" s="103">
        <v>3.2</v>
      </c>
      <c r="R40" s="105"/>
      <c r="S40" s="103">
        <v>3.2</v>
      </c>
    </row>
    <row r="41" spans="2:19" x14ac:dyDescent="0.25">
      <c r="B41" s="11"/>
      <c r="C41" s="11"/>
      <c r="Q41" s="103">
        <v>3.3</v>
      </c>
      <c r="R41" s="105"/>
      <c r="S41" s="103">
        <v>3.3</v>
      </c>
    </row>
    <row r="42" spans="2:19" x14ac:dyDescent="0.25">
      <c r="B42" s="11"/>
      <c r="C42" s="11"/>
      <c r="Q42" s="103">
        <v>3.4</v>
      </c>
      <c r="R42" s="105"/>
      <c r="S42" s="103">
        <v>3.4</v>
      </c>
    </row>
    <row r="43" spans="2:19" x14ac:dyDescent="0.25">
      <c r="B43" s="11"/>
      <c r="C43" s="11"/>
      <c r="Q43" s="103">
        <v>3.5</v>
      </c>
      <c r="R43" s="105"/>
      <c r="S43" s="103">
        <v>3.5</v>
      </c>
    </row>
    <row r="44" spans="2:19" x14ac:dyDescent="0.25">
      <c r="B44" s="11"/>
      <c r="C44" s="11"/>
      <c r="Q44" s="103">
        <v>3.6</v>
      </c>
      <c r="R44" s="105"/>
      <c r="S44" s="103">
        <v>3.6</v>
      </c>
    </row>
    <row r="45" spans="2:19" x14ac:dyDescent="0.25">
      <c r="B45" s="11"/>
      <c r="C45" s="11"/>
      <c r="Q45" s="103">
        <v>3.7</v>
      </c>
      <c r="R45" s="105"/>
      <c r="S45" s="103">
        <v>3.7</v>
      </c>
    </row>
    <row r="46" spans="2:19" x14ac:dyDescent="0.25">
      <c r="B46" s="11"/>
      <c r="C46" s="11"/>
      <c r="Q46" s="103">
        <v>3.8</v>
      </c>
      <c r="R46" s="105"/>
      <c r="S46" s="103">
        <v>3.8</v>
      </c>
    </row>
    <row r="47" spans="2:19" x14ac:dyDescent="0.25">
      <c r="B47" s="11"/>
      <c r="C47" s="11"/>
      <c r="Q47" s="103">
        <v>3.9</v>
      </c>
      <c r="R47" s="105"/>
      <c r="S47" s="103">
        <v>3.9</v>
      </c>
    </row>
    <row r="48" spans="2:19" x14ac:dyDescent="0.25">
      <c r="B48" s="11"/>
      <c r="C48" s="11"/>
      <c r="Q48" s="103">
        <v>4</v>
      </c>
      <c r="R48" s="105"/>
      <c r="S48" s="103">
        <v>4</v>
      </c>
    </row>
    <row r="49" spans="2:19" x14ac:dyDescent="0.25">
      <c r="B49" s="11"/>
      <c r="C49" s="11"/>
      <c r="Q49" s="103">
        <v>4.0999999999999996</v>
      </c>
      <c r="R49" s="105"/>
      <c r="S49" s="103">
        <v>4.0999999999999996</v>
      </c>
    </row>
    <row r="50" spans="2:19" x14ac:dyDescent="0.25">
      <c r="B50" s="11"/>
      <c r="C50" s="11"/>
      <c r="Q50" s="103">
        <v>4.2</v>
      </c>
      <c r="R50" s="105"/>
      <c r="S50" s="103">
        <v>4.2</v>
      </c>
    </row>
    <row r="51" spans="2:19" x14ac:dyDescent="0.25">
      <c r="B51" s="11"/>
      <c r="C51" s="11"/>
      <c r="Q51" s="103">
        <v>4.3</v>
      </c>
      <c r="R51" s="105"/>
      <c r="S51" s="103">
        <v>4.3</v>
      </c>
    </row>
    <row r="52" spans="2:19" x14ac:dyDescent="0.25">
      <c r="B52" s="11"/>
      <c r="C52" s="11"/>
      <c r="Q52" s="103">
        <v>4.4000000000000004</v>
      </c>
      <c r="R52" s="105"/>
      <c r="S52" s="103">
        <v>4.4000000000000004</v>
      </c>
    </row>
    <row r="53" spans="2:19" x14ac:dyDescent="0.25">
      <c r="B53" s="11"/>
      <c r="C53" s="11"/>
      <c r="Q53" s="103">
        <v>4.5</v>
      </c>
      <c r="R53" s="105"/>
      <c r="S53" s="103">
        <v>4.5</v>
      </c>
    </row>
    <row r="54" spans="2:19" x14ac:dyDescent="0.25">
      <c r="B54" s="11"/>
      <c r="C54" s="11"/>
      <c r="Q54" s="103">
        <v>4.5999999999999996</v>
      </c>
      <c r="R54" s="105"/>
      <c r="S54" s="103">
        <v>4.5999999999999996</v>
      </c>
    </row>
    <row r="55" spans="2:19" x14ac:dyDescent="0.25">
      <c r="B55" s="11"/>
      <c r="C55" s="11"/>
      <c r="Q55" s="103">
        <v>4.7</v>
      </c>
      <c r="R55" s="105"/>
      <c r="S55" s="103">
        <v>4.7</v>
      </c>
    </row>
    <row r="56" spans="2:19" x14ac:dyDescent="0.25">
      <c r="B56" s="11"/>
      <c r="C56" s="11"/>
      <c r="Q56" s="103">
        <v>4.8</v>
      </c>
      <c r="R56" s="105"/>
      <c r="S56" s="103">
        <v>4.8</v>
      </c>
    </row>
    <row r="57" spans="2:19" x14ac:dyDescent="0.25">
      <c r="B57" s="11"/>
      <c r="C57" s="11"/>
      <c r="Q57" s="103">
        <v>4.9000000000000004</v>
      </c>
      <c r="R57" s="105"/>
      <c r="S57" s="103">
        <v>4.9000000000000004</v>
      </c>
    </row>
    <row r="58" spans="2:19" x14ac:dyDescent="0.25">
      <c r="Q58" s="103">
        <v>5</v>
      </c>
      <c r="R58" s="105"/>
      <c r="S58" s="103">
        <v>5</v>
      </c>
    </row>
  </sheetData>
  <mergeCells count="5">
    <mergeCell ref="E9:F9"/>
    <mergeCell ref="Q9:S9"/>
    <mergeCell ref="Q10:S10"/>
    <mergeCell ref="H9:M9"/>
    <mergeCell ref="I10:M10"/>
  </mergeCells>
  <pageMargins left="0.7" right="0.7" top="0.78740157499999996" bottom="0.78740157499999996" header="0.3" footer="0.3"/>
  <pageSetup paperSize="9" scale="64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6"/>
  <dimension ref="A1:D747"/>
  <sheetViews>
    <sheetView workbookViewId="0">
      <selection activeCell="G12" sqref="G12"/>
    </sheetView>
  </sheetViews>
  <sheetFormatPr defaultRowHeight="15" x14ac:dyDescent="0.25"/>
  <cols>
    <col min="1" max="1" width="6.85546875" style="4" customWidth="1"/>
    <col min="2" max="2" width="7.140625" style="4" customWidth="1"/>
    <col min="3" max="3" width="23.140625" style="4" customWidth="1"/>
    <col min="4" max="4" width="9.140625" style="15"/>
  </cols>
  <sheetData>
    <row r="1" spans="1:4" ht="47.25" customHeight="1" x14ac:dyDescent="0.35">
      <c r="A1" s="276" t="s">
        <v>127</v>
      </c>
      <c r="B1" s="277"/>
      <c r="C1" s="277"/>
      <c r="D1" s="278"/>
    </row>
    <row r="2" spans="1:4" ht="30.75" thickBot="1" x14ac:dyDescent="0.3">
      <c r="A2" s="18" t="s">
        <v>24</v>
      </c>
      <c r="B2" s="18" t="s">
        <v>22</v>
      </c>
      <c r="C2" s="140" t="s">
        <v>23</v>
      </c>
      <c r="D2" s="17" t="s">
        <v>25</v>
      </c>
    </row>
    <row r="3" spans="1:4" ht="15.75" thickTop="1" x14ac:dyDescent="0.25">
      <c r="A3" s="141"/>
      <c r="B3" s="142"/>
      <c r="C3" s="145" t="s">
        <v>126</v>
      </c>
      <c r="D3" s="146">
        <v>5095</v>
      </c>
    </row>
    <row r="4" spans="1:4" x14ac:dyDescent="0.25">
      <c r="A4" s="141"/>
      <c r="B4" s="142"/>
      <c r="C4" s="143"/>
      <c r="D4" s="144"/>
    </row>
    <row r="5" spans="1:4" x14ac:dyDescent="0.25">
      <c r="A5" s="141"/>
      <c r="B5" s="142"/>
      <c r="C5" s="145"/>
      <c r="D5" s="146"/>
    </row>
    <row r="6" spans="1:4" x14ac:dyDescent="0.25">
      <c r="A6" s="141"/>
      <c r="B6" s="142"/>
      <c r="C6" s="143"/>
      <c r="D6" s="144"/>
    </row>
    <row r="7" spans="1:4" x14ac:dyDescent="0.25">
      <c r="A7" s="141"/>
      <c r="B7" s="142"/>
      <c r="C7" s="145"/>
      <c r="D7" s="146"/>
    </row>
    <row r="8" spans="1:4" x14ac:dyDescent="0.25">
      <c r="A8" s="141"/>
      <c r="B8" s="142"/>
      <c r="C8" s="143"/>
      <c r="D8" s="144"/>
    </row>
    <row r="9" spans="1:4" x14ac:dyDescent="0.25">
      <c r="A9" s="141"/>
      <c r="B9" s="142"/>
      <c r="C9" s="145"/>
      <c r="D9" s="146"/>
    </row>
    <row r="10" spans="1:4" x14ac:dyDescent="0.25">
      <c r="A10" s="141"/>
      <c r="B10" s="142"/>
      <c r="C10" s="143"/>
      <c r="D10" s="144"/>
    </row>
    <row r="11" spans="1:4" x14ac:dyDescent="0.25">
      <c r="A11" s="141"/>
      <c r="B11" s="142"/>
      <c r="C11" s="145"/>
      <c r="D11" s="146"/>
    </row>
    <row r="12" spans="1:4" x14ac:dyDescent="0.25">
      <c r="A12" s="141"/>
      <c r="B12" s="142"/>
      <c r="C12" s="143"/>
      <c r="D12" s="144"/>
    </row>
    <row r="13" spans="1:4" x14ac:dyDescent="0.25">
      <c r="A13" s="141"/>
      <c r="B13" s="142"/>
      <c r="C13" s="145"/>
      <c r="D13" s="146"/>
    </row>
    <row r="14" spans="1:4" x14ac:dyDescent="0.25">
      <c r="A14" s="141"/>
      <c r="B14" s="142"/>
      <c r="C14" s="143"/>
      <c r="D14" s="144"/>
    </row>
    <row r="15" spans="1:4" x14ac:dyDescent="0.25">
      <c r="A15" s="141"/>
      <c r="B15" s="142"/>
      <c r="C15" s="145"/>
      <c r="D15" s="146"/>
    </row>
    <row r="16" spans="1:4" x14ac:dyDescent="0.25">
      <c r="A16" s="141"/>
      <c r="B16" s="142"/>
      <c r="C16" s="143"/>
      <c r="D16" s="144"/>
    </row>
    <row r="17" spans="1:4" x14ac:dyDescent="0.25">
      <c r="A17" s="141"/>
      <c r="B17" s="142"/>
      <c r="C17" s="145"/>
      <c r="D17" s="146"/>
    </row>
    <row r="18" spans="1:4" x14ac:dyDescent="0.25">
      <c r="A18" s="141"/>
      <c r="B18" s="142"/>
      <c r="C18" s="143"/>
      <c r="D18" s="144"/>
    </row>
    <row r="19" spans="1:4" x14ac:dyDescent="0.25">
      <c r="A19" s="141"/>
      <c r="B19" s="142"/>
      <c r="C19" s="145"/>
      <c r="D19" s="146"/>
    </row>
    <row r="20" spans="1:4" x14ac:dyDescent="0.25">
      <c r="A20" s="141"/>
      <c r="B20" s="142"/>
      <c r="C20" s="143"/>
      <c r="D20" s="144"/>
    </row>
    <row r="21" spans="1:4" x14ac:dyDescent="0.25">
      <c r="A21" s="141"/>
      <c r="B21" s="142"/>
      <c r="C21" s="145"/>
      <c r="D21" s="146"/>
    </row>
    <row r="22" spans="1:4" x14ac:dyDescent="0.25">
      <c r="A22" s="141"/>
      <c r="B22" s="142"/>
      <c r="C22" s="143"/>
      <c r="D22" s="144"/>
    </row>
    <row r="23" spans="1:4" x14ac:dyDescent="0.25">
      <c r="A23" s="141"/>
      <c r="B23" s="142"/>
      <c r="C23" s="145"/>
      <c r="D23" s="146"/>
    </row>
    <row r="24" spans="1:4" x14ac:dyDescent="0.25">
      <c r="A24" s="141"/>
      <c r="B24" s="142"/>
      <c r="C24" s="143"/>
      <c r="D24" s="144"/>
    </row>
    <row r="25" spans="1:4" x14ac:dyDescent="0.25">
      <c r="A25" s="141"/>
      <c r="B25" s="142"/>
      <c r="C25" s="145"/>
      <c r="D25" s="146"/>
    </row>
    <row r="26" spans="1:4" x14ac:dyDescent="0.25">
      <c r="A26" s="141"/>
      <c r="B26" s="142"/>
      <c r="C26" s="143"/>
      <c r="D26" s="144"/>
    </row>
    <row r="27" spans="1:4" x14ac:dyDescent="0.25">
      <c r="A27" s="141"/>
      <c r="B27" s="142"/>
      <c r="C27" s="145"/>
      <c r="D27" s="146"/>
    </row>
    <row r="28" spans="1:4" x14ac:dyDescent="0.25">
      <c r="A28" s="141"/>
      <c r="B28" s="142"/>
      <c r="C28" s="143"/>
      <c r="D28" s="144"/>
    </row>
    <row r="29" spans="1:4" x14ac:dyDescent="0.25">
      <c r="A29" s="141"/>
      <c r="B29" s="142"/>
      <c r="C29" s="145"/>
      <c r="D29" s="146"/>
    </row>
    <row r="30" spans="1:4" x14ac:dyDescent="0.25">
      <c r="A30" s="141"/>
      <c r="B30" s="142"/>
      <c r="C30" s="143"/>
      <c r="D30" s="144"/>
    </row>
    <row r="31" spans="1:4" x14ac:dyDescent="0.25">
      <c r="A31" s="141"/>
      <c r="B31" s="142"/>
      <c r="C31" s="145"/>
      <c r="D31" s="146"/>
    </row>
    <row r="32" spans="1:4" x14ac:dyDescent="0.25">
      <c r="A32" s="141"/>
      <c r="B32" s="142"/>
      <c r="C32" s="143"/>
      <c r="D32" s="144"/>
    </row>
    <row r="33" spans="1:4" x14ac:dyDescent="0.25">
      <c r="A33" s="141"/>
      <c r="B33" s="142"/>
      <c r="C33" s="145"/>
      <c r="D33" s="146"/>
    </row>
    <row r="34" spans="1:4" x14ac:dyDescent="0.25">
      <c r="A34" s="141"/>
      <c r="B34" s="142"/>
      <c r="C34" s="143"/>
      <c r="D34" s="144"/>
    </row>
    <row r="35" spans="1:4" x14ac:dyDescent="0.25">
      <c r="A35" s="141"/>
      <c r="B35" s="142"/>
      <c r="C35" s="145"/>
      <c r="D35" s="146"/>
    </row>
    <row r="36" spans="1:4" x14ac:dyDescent="0.25">
      <c r="A36" s="141"/>
      <c r="B36" s="142"/>
      <c r="C36" s="143"/>
      <c r="D36" s="144"/>
    </row>
    <row r="37" spans="1:4" x14ac:dyDescent="0.25">
      <c r="A37" s="141"/>
      <c r="B37" s="142"/>
      <c r="C37" s="145"/>
      <c r="D37" s="146"/>
    </row>
    <row r="38" spans="1:4" x14ac:dyDescent="0.25">
      <c r="A38" s="141"/>
      <c r="B38" s="142"/>
      <c r="C38" s="143"/>
      <c r="D38" s="144"/>
    </row>
    <row r="39" spans="1:4" x14ac:dyDescent="0.25">
      <c r="A39" s="141"/>
      <c r="B39" s="142"/>
      <c r="C39" s="145"/>
      <c r="D39" s="146"/>
    </row>
    <row r="40" spans="1:4" x14ac:dyDescent="0.25">
      <c r="A40" s="141"/>
      <c r="B40" s="142"/>
      <c r="C40" s="143"/>
      <c r="D40" s="144"/>
    </row>
    <row r="41" spans="1:4" x14ac:dyDescent="0.25">
      <c r="A41" s="141"/>
      <c r="B41" s="142"/>
      <c r="C41" s="145"/>
      <c r="D41" s="146"/>
    </row>
    <row r="42" spans="1:4" x14ac:dyDescent="0.25">
      <c r="A42" s="141"/>
      <c r="B42" s="142"/>
      <c r="C42" s="143"/>
      <c r="D42" s="144"/>
    </row>
    <row r="43" spans="1:4" x14ac:dyDescent="0.25">
      <c r="A43" s="141"/>
      <c r="B43" s="142"/>
      <c r="C43" s="145"/>
      <c r="D43" s="146"/>
    </row>
    <row r="44" spans="1:4" x14ac:dyDescent="0.25">
      <c r="A44" s="141"/>
      <c r="B44" s="142"/>
      <c r="C44" s="143"/>
      <c r="D44" s="144"/>
    </row>
    <row r="45" spans="1:4" x14ac:dyDescent="0.25">
      <c r="C45" s="145"/>
      <c r="D45" s="146"/>
    </row>
    <row r="46" spans="1:4" x14ac:dyDescent="0.25">
      <c r="C46" s="143"/>
      <c r="D46" s="144"/>
    </row>
    <row r="47" spans="1:4" x14ac:dyDescent="0.25">
      <c r="C47" s="145"/>
      <c r="D47" s="146"/>
    </row>
    <row r="48" spans="1:4" x14ac:dyDescent="0.25">
      <c r="C48" s="143"/>
      <c r="D48" s="144"/>
    </row>
    <row r="49" spans="3:4" x14ac:dyDescent="0.25">
      <c r="C49" s="145"/>
      <c r="D49" s="146"/>
    </row>
    <row r="50" spans="3:4" x14ac:dyDescent="0.25">
      <c r="C50" s="143"/>
      <c r="D50" s="144"/>
    </row>
    <row r="51" spans="3:4" x14ac:dyDescent="0.25">
      <c r="C51" s="145"/>
      <c r="D51" s="146"/>
    </row>
    <row r="52" spans="3:4" x14ac:dyDescent="0.25">
      <c r="C52" s="143"/>
      <c r="D52" s="144"/>
    </row>
    <row r="53" spans="3:4" x14ac:dyDescent="0.25">
      <c r="C53" s="145"/>
      <c r="D53" s="146"/>
    </row>
    <row r="54" spans="3:4" x14ac:dyDescent="0.25">
      <c r="C54" s="143"/>
      <c r="D54" s="144"/>
    </row>
    <row r="55" spans="3:4" x14ac:dyDescent="0.25">
      <c r="C55" s="145"/>
      <c r="D55" s="146"/>
    </row>
    <row r="56" spans="3:4" x14ac:dyDescent="0.25">
      <c r="C56" s="143"/>
      <c r="D56" s="144"/>
    </row>
    <row r="57" spans="3:4" x14ac:dyDescent="0.25">
      <c r="C57" s="145"/>
      <c r="D57" s="146"/>
    </row>
    <row r="58" spans="3:4" x14ac:dyDescent="0.25">
      <c r="C58" s="143"/>
      <c r="D58" s="144"/>
    </row>
    <row r="59" spans="3:4" x14ac:dyDescent="0.25">
      <c r="C59" s="145"/>
      <c r="D59" s="146"/>
    </row>
    <row r="60" spans="3:4" x14ac:dyDescent="0.25">
      <c r="C60" s="143"/>
      <c r="D60" s="144"/>
    </row>
    <row r="61" spans="3:4" x14ac:dyDescent="0.25">
      <c r="C61" s="145"/>
      <c r="D61" s="146"/>
    </row>
    <row r="62" spans="3:4" x14ac:dyDescent="0.25">
      <c r="C62" s="143"/>
      <c r="D62" s="144"/>
    </row>
    <row r="63" spans="3:4" x14ac:dyDescent="0.25">
      <c r="C63" s="145"/>
      <c r="D63" s="146"/>
    </row>
    <row r="64" spans="3:4" x14ac:dyDescent="0.25">
      <c r="C64" s="143"/>
      <c r="D64" s="144"/>
    </row>
    <row r="65" spans="3:4" x14ac:dyDescent="0.25">
      <c r="C65" s="145"/>
      <c r="D65" s="146"/>
    </row>
    <row r="66" spans="3:4" x14ac:dyDescent="0.25">
      <c r="C66" s="143"/>
      <c r="D66" s="144"/>
    </row>
    <row r="67" spans="3:4" x14ac:dyDescent="0.25">
      <c r="C67" s="145"/>
      <c r="D67" s="146"/>
    </row>
    <row r="68" spans="3:4" x14ac:dyDescent="0.25">
      <c r="C68" s="143"/>
      <c r="D68" s="144"/>
    </row>
    <row r="69" spans="3:4" x14ac:dyDescent="0.25">
      <c r="C69" s="145"/>
      <c r="D69" s="146"/>
    </row>
    <row r="70" spans="3:4" x14ac:dyDescent="0.25">
      <c r="C70" s="143"/>
      <c r="D70" s="144"/>
    </row>
    <row r="71" spans="3:4" x14ac:dyDescent="0.25">
      <c r="C71" s="145"/>
      <c r="D71" s="146"/>
    </row>
    <row r="72" spans="3:4" x14ac:dyDescent="0.25">
      <c r="C72" s="143"/>
      <c r="D72" s="144"/>
    </row>
    <row r="73" spans="3:4" x14ac:dyDescent="0.25">
      <c r="C73" s="145"/>
      <c r="D73" s="146"/>
    </row>
    <row r="74" spans="3:4" x14ac:dyDescent="0.25">
      <c r="C74" s="143"/>
      <c r="D74" s="144"/>
    </row>
    <row r="75" spans="3:4" x14ac:dyDescent="0.25">
      <c r="C75" s="145"/>
      <c r="D75" s="146"/>
    </row>
    <row r="76" spans="3:4" x14ac:dyDescent="0.25">
      <c r="C76" s="143"/>
      <c r="D76" s="144"/>
    </row>
    <row r="77" spans="3:4" x14ac:dyDescent="0.25">
      <c r="C77" s="145"/>
      <c r="D77" s="146"/>
    </row>
    <row r="78" spans="3:4" x14ac:dyDescent="0.25">
      <c r="C78" s="143"/>
      <c r="D78" s="144"/>
    </row>
    <row r="79" spans="3:4" x14ac:dyDescent="0.25">
      <c r="C79" s="145"/>
      <c r="D79" s="146"/>
    </row>
    <row r="80" spans="3:4" x14ac:dyDescent="0.25">
      <c r="C80" s="143"/>
      <c r="D80" s="144"/>
    </row>
    <row r="81" spans="3:4" x14ac:dyDescent="0.25">
      <c r="C81" s="145"/>
      <c r="D81" s="146"/>
    </row>
    <row r="82" spans="3:4" x14ac:dyDescent="0.25">
      <c r="C82" s="143"/>
      <c r="D82" s="144"/>
    </row>
    <row r="83" spans="3:4" x14ac:dyDescent="0.25">
      <c r="C83" s="145"/>
      <c r="D83" s="146"/>
    </row>
    <row r="84" spans="3:4" x14ac:dyDescent="0.25">
      <c r="C84" s="143"/>
      <c r="D84" s="144"/>
    </row>
    <row r="85" spans="3:4" x14ac:dyDescent="0.25">
      <c r="C85" s="145"/>
      <c r="D85" s="146"/>
    </row>
    <row r="86" spans="3:4" x14ac:dyDescent="0.25">
      <c r="C86" s="143"/>
      <c r="D86" s="144"/>
    </row>
    <row r="87" spans="3:4" x14ac:dyDescent="0.25">
      <c r="C87" s="145"/>
      <c r="D87" s="146"/>
    </row>
    <row r="88" spans="3:4" x14ac:dyDescent="0.25">
      <c r="C88" s="143"/>
      <c r="D88" s="144"/>
    </row>
    <row r="89" spans="3:4" x14ac:dyDescent="0.25">
      <c r="C89" s="145"/>
      <c r="D89" s="146"/>
    </row>
    <row r="90" spans="3:4" x14ac:dyDescent="0.25">
      <c r="C90" s="143"/>
      <c r="D90" s="144"/>
    </row>
    <row r="91" spans="3:4" x14ac:dyDescent="0.25">
      <c r="C91" s="145"/>
      <c r="D91" s="146"/>
    </row>
    <row r="92" spans="3:4" x14ac:dyDescent="0.25">
      <c r="C92" s="143"/>
      <c r="D92" s="144"/>
    </row>
    <row r="93" spans="3:4" x14ac:dyDescent="0.25">
      <c r="C93" s="145"/>
      <c r="D93" s="146"/>
    </row>
    <row r="94" spans="3:4" x14ac:dyDescent="0.25">
      <c r="C94" s="143"/>
      <c r="D94" s="144"/>
    </row>
    <row r="95" spans="3:4" x14ac:dyDescent="0.25">
      <c r="C95" s="145"/>
      <c r="D95" s="146"/>
    </row>
    <row r="96" spans="3:4" x14ac:dyDescent="0.25">
      <c r="C96" s="143"/>
      <c r="D96" s="144"/>
    </row>
    <row r="97" spans="3:4" x14ac:dyDescent="0.25">
      <c r="C97" s="145"/>
      <c r="D97" s="146"/>
    </row>
    <row r="98" spans="3:4" x14ac:dyDescent="0.25">
      <c r="C98" s="143"/>
      <c r="D98" s="144"/>
    </row>
    <row r="99" spans="3:4" x14ac:dyDescent="0.25">
      <c r="C99" s="145"/>
      <c r="D99" s="146"/>
    </row>
    <row r="100" spans="3:4" x14ac:dyDescent="0.25">
      <c r="C100" s="143"/>
      <c r="D100" s="144"/>
    </row>
    <row r="101" spans="3:4" x14ac:dyDescent="0.25">
      <c r="C101" s="145"/>
      <c r="D101" s="146"/>
    </row>
    <row r="102" spans="3:4" x14ac:dyDescent="0.25">
      <c r="C102" s="143"/>
      <c r="D102" s="144"/>
    </row>
    <row r="103" spans="3:4" x14ac:dyDescent="0.25">
      <c r="C103" s="145"/>
      <c r="D103" s="146"/>
    </row>
    <row r="104" spans="3:4" x14ac:dyDescent="0.25">
      <c r="C104" s="143"/>
      <c r="D104" s="144"/>
    </row>
    <row r="105" spans="3:4" x14ac:dyDescent="0.25">
      <c r="C105" s="145"/>
      <c r="D105" s="146"/>
    </row>
    <row r="106" spans="3:4" x14ac:dyDescent="0.25">
      <c r="C106" s="143"/>
      <c r="D106" s="144"/>
    </row>
    <row r="107" spans="3:4" x14ac:dyDescent="0.25">
      <c r="C107" s="145"/>
      <c r="D107" s="146"/>
    </row>
    <row r="108" spans="3:4" x14ac:dyDescent="0.25">
      <c r="C108" s="143"/>
      <c r="D108" s="144"/>
    </row>
    <row r="109" spans="3:4" x14ac:dyDescent="0.25">
      <c r="C109" s="145"/>
      <c r="D109" s="146"/>
    </row>
    <row r="110" spans="3:4" x14ac:dyDescent="0.25">
      <c r="C110" s="143"/>
      <c r="D110" s="144"/>
    </row>
    <row r="111" spans="3:4" x14ac:dyDescent="0.25">
      <c r="C111" s="145"/>
      <c r="D111" s="146"/>
    </row>
    <row r="112" spans="3:4" x14ac:dyDescent="0.25">
      <c r="C112" s="143"/>
      <c r="D112" s="144"/>
    </row>
    <row r="113" spans="3:4" x14ac:dyDescent="0.25">
      <c r="C113" s="145"/>
      <c r="D113" s="146"/>
    </row>
    <row r="114" spans="3:4" x14ac:dyDescent="0.25">
      <c r="C114" s="143"/>
      <c r="D114" s="144"/>
    </row>
    <row r="115" spans="3:4" x14ac:dyDescent="0.25">
      <c r="C115" s="145"/>
      <c r="D115" s="146"/>
    </row>
    <row r="116" spans="3:4" x14ac:dyDescent="0.25">
      <c r="C116" s="143"/>
      <c r="D116" s="144"/>
    </row>
    <row r="117" spans="3:4" x14ac:dyDescent="0.25">
      <c r="C117" s="145"/>
      <c r="D117" s="146"/>
    </row>
    <row r="118" spans="3:4" x14ac:dyDescent="0.25">
      <c r="C118" s="143"/>
      <c r="D118" s="144"/>
    </row>
    <row r="119" spans="3:4" x14ac:dyDescent="0.25">
      <c r="C119" s="145"/>
      <c r="D119" s="146"/>
    </row>
    <row r="120" spans="3:4" x14ac:dyDescent="0.25">
      <c r="C120" s="143"/>
      <c r="D120" s="144"/>
    </row>
    <row r="121" spans="3:4" x14ac:dyDescent="0.25">
      <c r="C121" s="145"/>
      <c r="D121" s="146"/>
    </row>
    <row r="122" spans="3:4" x14ac:dyDescent="0.25">
      <c r="C122" s="143"/>
      <c r="D122" s="144"/>
    </row>
    <row r="123" spans="3:4" x14ac:dyDescent="0.25">
      <c r="C123" s="145"/>
      <c r="D123" s="146"/>
    </row>
    <row r="124" spans="3:4" x14ac:dyDescent="0.25">
      <c r="C124" s="143"/>
      <c r="D124" s="144"/>
    </row>
    <row r="125" spans="3:4" x14ac:dyDescent="0.25">
      <c r="C125" s="145"/>
      <c r="D125" s="146"/>
    </row>
    <row r="126" spans="3:4" x14ac:dyDescent="0.25">
      <c r="C126" s="143"/>
      <c r="D126" s="144"/>
    </row>
    <row r="127" spans="3:4" x14ac:dyDescent="0.25">
      <c r="C127" s="145"/>
      <c r="D127" s="146"/>
    </row>
    <row r="128" spans="3:4" x14ac:dyDescent="0.25">
      <c r="C128" s="143"/>
      <c r="D128" s="144"/>
    </row>
    <row r="129" spans="3:4" x14ac:dyDescent="0.25">
      <c r="C129" s="145"/>
      <c r="D129" s="146"/>
    </row>
    <row r="130" spans="3:4" x14ac:dyDescent="0.25">
      <c r="C130" s="143"/>
      <c r="D130" s="144"/>
    </row>
    <row r="131" spans="3:4" x14ac:dyDescent="0.25">
      <c r="C131" s="145"/>
      <c r="D131" s="146"/>
    </row>
    <row r="132" spans="3:4" x14ac:dyDescent="0.25">
      <c r="C132" s="143"/>
      <c r="D132" s="144"/>
    </row>
    <row r="133" spans="3:4" x14ac:dyDescent="0.25">
      <c r="C133" s="145"/>
      <c r="D133" s="146"/>
    </row>
    <row r="134" spans="3:4" x14ac:dyDescent="0.25">
      <c r="C134" s="143"/>
      <c r="D134" s="144"/>
    </row>
    <row r="135" spans="3:4" x14ac:dyDescent="0.25">
      <c r="C135" s="145"/>
      <c r="D135" s="146"/>
    </row>
    <row r="136" spans="3:4" x14ac:dyDescent="0.25">
      <c r="C136" s="143"/>
      <c r="D136" s="144"/>
    </row>
    <row r="137" spans="3:4" x14ac:dyDescent="0.25">
      <c r="C137" s="145"/>
      <c r="D137" s="146"/>
    </row>
    <row r="138" spans="3:4" x14ac:dyDescent="0.25">
      <c r="C138" s="143"/>
      <c r="D138" s="144"/>
    </row>
    <row r="139" spans="3:4" x14ac:dyDescent="0.25">
      <c r="C139" s="145"/>
      <c r="D139" s="146"/>
    </row>
    <row r="140" spans="3:4" x14ac:dyDescent="0.25">
      <c r="C140" s="143"/>
      <c r="D140" s="144"/>
    </row>
    <row r="141" spans="3:4" x14ac:dyDescent="0.25">
      <c r="C141" s="145"/>
      <c r="D141" s="146"/>
    </row>
    <row r="142" spans="3:4" x14ac:dyDescent="0.25">
      <c r="C142" s="143"/>
      <c r="D142" s="144"/>
    </row>
    <row r="143" spans="3:4" x14ac:dyDescent="0.25">
      <c r="C143" s="145"/>
      <c r="D143" s="146"/>
    </row>
    <row r="144" spans="3:4" x14ac:dyDescent="0.25">
      <c r="C144" s="143"/>
      <c r="D144" s="144"/>
    </row>
    <row r="145" spans="3:4" x14ac:dyDescent="0.25">
      <c r="C145" s="145"/>
      <c r="D145" s="146"/>
    </row>
    <row r="146" spans="3:4" x14ac:dyDescent="0.25">
      <c r="C146" s="143"/>
      <c r="D146" s="144"/>
    </row>
    <row r="147" spans="3:4" x14ac:dyDescent="0.25">
      <c r="C147" s="145"/>
      <c r="D147" s="146"/>
    </row>
    <row r="148" spans="3:4" x14ac:dyDescent="0.25">
      <c r="C148" s="143"/>
      <c r="D148" s="144"/>
    </row>
    <row r="149" spans="3:4" x14ac:dyDescent="0.25">
      <c r="C149" s="145"/>
      <c r="D149" s="146"/>
    </row>
    <row r="150" spans="3:4" x14ac:dyDescent="0.25">
      <c r="C150" s="143"/>
      <c r="D150" s="144"/>
    </row>
    <row r="151" spans="3:4" x14ac:dyDescent="0.25">
      <c r="C151" s="145"/>
      <c r="D151" s="146"/>
    </row>
    <row r="152" spans="3:4" x14ac:dyDescent="0.25">
      <c r="C152" s="143"/>
      <c r="D152" s="144"/>
    </row>
    <row r="153" spans="3:4" x14ac:dyDescent="0.25">
      <c r="C153" s="145"/>
      <c r="D153" s="146"/>
    </row>
    <row r="154" spans="3:4" x14ac:dyDescent="0.25">
      <c r="C154" s="143"/>
      <c r="D154" s="144"/>
    </row>
    <row r="155" spans="3:4" x14ac:dyDescent="0.25">
      <c r="C155" s="145"/>
      <c r="D155" s="146"/>
    </row>
    <row r="156" spans="3:4" x14ac:dyDescent="0.25">
      <c r="C156" s="143"/>
      <c r="D156" s="144"/>
    </row>
    <row r="157" spans="3:4" x14ac:dyDescent="0.25">
      <c r="C157" s="145"/>
      <c r="D157" s="146"/>
    </row>
    <row r="158" spans="3:4" x14ac:dyDescent="0.25">
      <c r="C158" s="143"/>
      <c r="D158" s="144"/>
    </row>
    <row r="159" spans="3:4" x14ac:dyDescent="0.25">
      <c r="C159" s="145"/>
      <c r="D159" s="146"/>
    </row>
    <row r="160" spans="3:4" x14ac:dyDescent="0.25">
      <c r="C160" s="143"/>
      <c r="D160" s="144"/>
    </row>
    <row r="161" spans="3:4" x14ac:dyDescent="0.25">
      <c r="C161" s="145"/>
      <c r="D161" s="146"/>
    </row>
    <row r="162" spans="3:4" x14ac:dyDescent="0.25">
      <c r="C162" s="143"/>
      <c r="D162" s="144"/>
    </row>
    <row r="163" spans="3:4" x14ac:dyDescent="0.25">
      <c r="C163" s="145"/>
      <c r="D163" s="146"/>
    </row>
    <row r="164" spans="3:4" x14ac:dyDescent="0.25">
      <c r="C164" s="143"/>
      <c r="D164" s="144"/>
    </row>
    <row r="165" spans="3:4" x14ac:dyDescent="0.25">
      <c r="C165" s="145"/>
      <c r="D165" s="146"/>
    </row>
    <row r="166" spans="3:4" x14ac:dyDescent="0.25">
      <c r="C166" s="143"/>
      <c r="D166" s="144"/>
    </row>
    <row r="167" spans="3:4" x14ac:dyDescent="0.25">
      <c r="C167" s="145"/>
      <c r="D167" s="146"/>
    </row>
    <row r="168" spans="3:4" x14ac:dyDescent="0.25">
      <c r="C168" s="143"/>
      <c r="D168" s="144"/>
    </row>
    <row r="169" spans="3:4" x14ac:dyDescent="0.25">
      <c r="C169" s="145"/>
      <c r="D169" s="146"/>
    </row>
    <row r="170" spans="3:4" x14ac:dyDescent="0.25">
      <c r="C170" s="143"/>
      <c r="D170" s="144"/>
    </row>
    <row r="171" spans="3:4" x14ac:dyDescent="0.25">
      <c r="C171" s="145"/>
      <c r="D171" s="146"/>
    </row>
    <row r="172" spans="3:4" x14ac:dyDescent="0.25">
      <c r="C172" s="143"/>
      <c r="D172" s="144"/>
    </row>
    <row r="173" spans="3:4" x14ac:dyDescent="0.25">
      <c r="C173" s="145"/>
      <c r="D173" s="146"/>
    </row>
    <row r="174" spans="3:4" x14ac:dyDescent="0.25">
      <c r="C174" s="143"/>
      <c r="D174" s="144"/>
    </row>
    <row r="175" spans="3:4" x14ac:dyDescent="0.25">
      <c r="C175" s="145"/>
      <c r="D175" s="146"/>
    </row>
    <row r="176" spans="3:4" x14ac:dyDescent="0.25">
      <c r="C176" s="143"/>
      <c r="D176" s="144"/>
    </row>
    <row r="177" spans="3:4" x14ac:dyDescent="0.25">
      <c r="C177" s="145"/>
      <c r="D177" s="146"/>
    </row>
    <row r="178" spans="3:4" x14ac:dyDescent="0.25">
      <c r="C178" s="143"/>
      <c r="D178" s="144"/>
    </row>
    <row r="179" spans="3:4" x14ac:dyDescent="0.25">
      <c r="C179" s="145"/>
      <c r="D179" s="146"/>
    </row>
    <row r="180" spans="3:4" x14ac:dyDescent="0.25">
      <c r="C180" s="143"/>
      <c r="D180" s="144"/>
    </row>
    <row r="181" spans="3:4" x14ac:dyDescent="0.25">
      <c r="C181" s="145"/>
      <c r="D181" s="146"/>
    </row>
    <row r="182" spans="3:4" x14ac:dyDescent="0.25">
      <c r="C182" s="143"/>
      <c r="D182" s="144"/>
    </row>
    <row r="183" spans="3:4" x14ac:dyDescent="0.25">
      <c r="C183" s="145"/>
      <c r="D183" s="146"/>
    </row>
    <row r="184" spans="3:4" x14ac:dyDescent="0.25">
      <c r="C184" s="143"/>
      <c r="D184" s="144"/>
    </row>
    <row r="185" spans="3:4" x14ac:dyDescent="0.25">
      <c r="C185" s="145"/>
      <c r="D185" s="146"/>
    </row>
    <row r="186" spans="3:4" x14ac:dyDescent="0.25">
      <c r="C186" s="143"/>
      <c r="D186" s="144"/>
    </row>
    <row r="187" spans="3:4" x14ac:dyDescent="0.25">
      <c r="C187" s="145"/>
      <c r="D187" s="146"/>
    </row>
    <row r="188" spans="3:4" x14ac:dyDescent="0.25">
      <c r="C188" s="143"/>
      <c r="D188" s="144"/>
    </row>
    <row r="189" spans="3:4" x14ac:dyDescent="0.25">
      <c r="C189" s="145"/>
      <c r="D189" s="146"/>
    </row>
    <row r="190" spans="3:4" x14ac:dyDescent="0.25">
      <c r="C190" s="143"/>
      <c r="D190" s="144"/>
    </row>
    <row r="191" spans="3:4" x14ac:dyDescent="0.25">
      <c r="C191" s="145"/>
      <c r="D191" s="146"/>
    </row>
    <row r="192" spans="3:4" x14ac:dyDescent="0.25">
      <c r="C192" s="143"/>
      <c r="D192" s="144"/>
    </row>
    <row r="193" spans="3:4" x14ac:dyDescent="0.25">
      <c r="C193" s="145"/>
      <c r="D193" s="146"/>
    </row>
    <row r="194" spans="3:4" x14ac:dyDescent="0.25">
      <c r="C194" s="143"/>
      <c r="D194" s="144"/>
    </row>
    <row r="195" spans="3:4" x14ac:dyDescent="0.25">
      <c r="C195" s="145"/>
      <c r="D195" s="146"/>
    </row>
    <row r="196" spans="3:4" x14ac:dyDescent="0.25">
      <c r="C196" s="143"/>
      <c r="D196" s="144"/>
    </row>
    <row r="197" spans="3:4" x14ac:dyDescent="0.25">
      <c r="C197" s="145"/>
      <c r="D197" s="146"/>
    </row>
    <row r="198" spans="3:4" x14ac:dyDescent="0.25">
      <c r="C198" s="143"/>
      <c r="D198" s="144"/>
    </row>
    <row r="199" spans="3:4" x14ac:dyDescent="0.25">
      <c r="C199" s="145"/>
      <c r="D199" s="146"/>
    </row>
    <row r="200" spans="3:4" x14ac:dyDescent="0.25">
      <c r="C200" s="143"/>
      <c r="D200" s="144"/>
    </row>
    <row r="201" spans="3:4" x14ac:dyDescent="0.25">
      <c r="C201" s="145"/>
      <c r="D201" s="146"/>
    </row>
    <row r="202" spans="3:4" x14ac:dyDescent="0.25">
      <c r="C202" s="143"/>
      <c r="D202" s="144"/>
    </row>
    <row r="203" spans="3:4" x14ac:dyDescent="0.25">
      <c r="C203" s="145"/>
      <c r="D203" s="146"/>
    </row>
    <row r="204" spans="3:4" x14ac:dyDescent="0.25">
      <c r="C204" s="143"/>
      <c r="D204" s="144"/>
    </row>
    <row r="205" spans="3:4" x14ac:dyDescent="0.25">
      <c r="C205" s="145"/>
      <c r="D205" s="146"/>
    </row>
    <row r="206" spans="3:4" x14ac:dyDescent="0.25">
      <c r="C206" s="143"/>
      <c r="D206" s="144"/>
    </row>
    <row r="207" spans="3:4" x14ac:dyDescent="0.25">
      <c r="C207" s="145"/>
      <c r="D207" s="146"/>
    </row>
    <row r="208" spans="3:4" x14ac:dyDescent="0.25">
      <c r="C208" s="143"/>
      <c r="D208" s="144"/>
    </row>
    <row r="209" spans="3:4" x14ac:dyDescent="0.25">
      <c r="C209" s="145"/>
      <c r="D209" s="146"/>
    </row>
    <row r="210" spans="3:4" x14ac:dyDescent="0.25">
      <c r="C210" s="143"/>
      <c r="D210" s="144"/>
    </row>
    <row r="211" spans="3:4" x14ac:dyDescent="0.25">
      <c r="C211" s="145"/>
      <c r="D211" s="146"/>
    </row>
    <row r="212" spans="3:4" x14ac:dyDescent="0.25">
      <c r="C212" s="143"/>
      <c r="D212" s="144"/>
    </row>
    <row r="213" spans="3:4" x14ac:dyDescent="0.25">
      <c r="C213" s="145"/>
      <c r="D213" s="146"/>
    </row>
    <row r="214" spans="3:4" x14ac:dyDescent="0.25">
      <c r="C214" s="143"/>
      <c r="D214" s="144"/>
    </row>
    <row r="215" spans="3:4" x14ac:dyDescent="0.25">
      <c r="C215" s="145"/>
      <c r="D215" s="146"/>
    </row>
    <row r="216" spans="3:4" x14ac:dyDescent="0.25">
      <c r="C216" s="143"/>
      <c r="D216" s="144"/>
    </row>
    <row r="217" spans="3:4" x14ac:dyDescent="0.25">
      <c r="C217" s="145"/>
      <c r="D217" s="146"/>
    </row>
    <row r="218" spans="3:4" x14ac:dyDescent="0.25">
      <c r="C218" s="143"/>
      <c r="D218" s="144"/>
    </row>
    <row r="219" spans="3:4" x14ac:dyDescent="0.25">
      <c r="C219" s="145"/>
      <c r="D219" s="146"/>
    </row>
    <row r="220" spans="3:4" x14ac:dyDescent="0.25">
      <c r="C220" s="143"/>
      <c r="D220" s="144"/>
    </row>
    <row r="221" spans="3:4" x14ac:dyDescent="0.25">
      <c r="C221" s="145"/>
      <c r="D221" s="146"/>
    </row>
    <row r="222" spans="3:4" x14ac:dyDescent="0.25">
      <c r="C222" s="143"/>
      <c r="D222" s="144"/>
    </row>
    <row r="223" spans="3:4" x14ac:dyDescent="0.25">
      <c r="C223" s="145"/>
      <c r="D223" s="146"/>
    </row>
    <row r="224" spans="3:4" x14ac:dyDescent="0.25">
      <c r="C224" s="143"/>
      <c r="D224" s="144"/>
    </row>
    <row r="225" spans="3:4" x14ac:dyDescent="0.25">
      <c r="C225" s="145"/>
      <c r="D225" s="146"/>
    </row>
    <row r="226" spans="3:4" x14ac:dyDescent="0.25">
      <c r="C226" s="143"/>
      <c r="D226" s="144"/>
    </row>
    <row r="227" spans="3:4" x14ac:dyDescent="0.25">
      <c r="C227" s="145"/>
      <c r="D227" s="146"/>
    </row>
    <row r="228" spans="3:4" x14ac:dyDescent="0.25">
      <c r="C228" s="143"/>
      <c r="D228" s="144"/>
    </row>
    <row r="229" spans="3:4" x14ac:dyDescent="0.25">
      <c r="C229" s="145"/>
      <c r="D229" s="146"/>
    </row>
    <row r="230" spans="3:4" x14ac:dyDescent="0.25">
      <c r="C230" s="143"/>
      <c r="D230" s="144"/>
    </row>
    <row r="231" spans="3:4" x14ac:dyDescent="0.25">
      <c r="C231" s="145"/>
      <c r="D231" s="146"/>
    </row>
    <row r="232" spans="3:4" x14ac:dyDescent="0.25">
      <c r="C232" s="143"/>
      <c r="D232" s="144"/>
    </row>
    <row r="233" spans="3:4" x14ac:dyDescent="0.25">
      <c r="C233" s="145"/>
      <c r="D233" s="146"/>
    </row>
    <row r="234" spans="3:4" x14ac:dyDescent="0.25">
      <c r="C234" s="143"/>
      <c r="D234" s="144"/>
    </row>
    <row r="235" spans="3:4" x14ac:dyDescent="0.25">
      <c r="C235" s="145"/>
      <c r="D235" s="146"/>
    </row>
    <row r="236" spans="3:4" x14ac:dyDescent="0.25">
      <c r="C236" s="143"/>
      <c r="D236" s="144"/>
    </row>
    <row r="237" spans="3:4" x14ac:dyDescent="0.25">
      <c r="C237" s="145"/>
      <c r="D237" s="146"/>
    </row>
    <row r="238" spans="3:4" x14ac:dyDescent="0.25">
      <c r="C238" s="143"/>
      <c r="D238" s="144"/>
    </row>
    <row r="239" spans="3:4" x14ac:dyDescent="0.25">
      <c r="C239" s="145"/>
      <c r="D239" s="146"/>
    </row>
    <row r="240" spans="3:4" x14ac:dyDescent="0.25">
      <c r="C240" s="143"/>
      <c r="D240" s="144"/>
    </row>
    <row r="241" spans="3:4" x14ac:dyDescent="0.25">
      <c r="C241" s="145"/>
      <c r="D241" s="146"/>
    </row>
    <row r="242" spans="3:4" x14ac:dyDescent="0.25">
      <c r="C242" s="143"/>
      <c r="D242" s="144"/>
    </row>
    <row r="243" spans="3:4" x14ac:dyDescent="0.25">
      <c r="C243" s="145"/>
      <c r="D243" s="146"/>
    </row>
    <row r="244" spans="3:4" x14ac:dyDescent="0.25">
      <c r="C244" s="143"/>
      <c r="D244" s="144"/>
    </row>
    <row r="245" spans="3:4" x14ac:dyDescent="0.25">
      <c r="C245" s="145"/>
      <c r="D245" s="146"/>
    </row>
    <row r="246" spans="3:4" x14ac:dyDescent="0.25">
      <c r="C246" s="143"/>
      <c r="D246" s="144"/>
    </row>
    <row r="247" spans="3:4" x14ac:dyDescent="0.25">
      <c r="C247" s="145"/>
      <c r="D247" s="146"/>
    </row>
    <row r="248" spans="3:4" x14ac:dyDescent="0.25">
      <c r="C248" s="143"/>
      <c r="D248" s="144"/>
    </row>
    <row r="249" spans="3:4" x14ac:dyDescent="0.25">
      <c r="C249" s="145"/>
      <c r="D249" s="146"/>
    </row>
    <row r="250" spans="3:4" x14ac:dyDescent="0.25">
      <c r="C250" s="143"/>
      <c r="D250" s="144"/>
    </row>
    <row r="251" spans="3:4" x14ac:dyDescent="0.25">
      <c r="C251" s="145"/>
      <c r="D251" s="146"/>
    </row>
    <row r="252" spans="3:4" x14ac:dyDescent="0.25">
      <c r="C252" s="143"/>
      <c r="D252" s="144"/>
    </row>
    <row r="253" spans="3:4" x14ac:dyDescent="0.25">
      <c r="C253" s="145"/>
      <c r="D253" s="146"/>
    </row>
    <row r="254" spans="3:4" x14ac:dyDescent="0.25">
      <c r="C254" s="143"/>
      <c r="D254" s="144"/>
    </row>
    <row r="255" spans="3:4" x14ac:dyDescent="0.25">
      <c r="C255" s="145"/>
      <c r="D255" s="146"/>
    </row>
    <row r="256" spans="3:4" x14ac:dyDescent="0.25">
      <c r="C256" s="143"/>
      <c r="D256" s="144"/>
    </row>
    <row r="257" spans="3:4" x14ac:dyDescent="0.25">
      <c r="C257" s="145"/>
      <c r="D257" s="146"/>
    </row>
    <row r="258" spans="3:4" x14ac:dyDescent="0.25">
      <c r="C258" s="143"/>
      <c r="D258" s="144"/>
    </row>
    <row r="259" spans="3:4" x14ac:dyDescent="0.25">
      <c r="C259" s="145"/>
      <c r="D259" s="146"/>
    </row>
    <row r="260" spans="3:4" x14ac:dyDescent="0.25">
      <c r="C260" s="143"/>
      <c r="D260" s="144"/>
    </row>
    <row r="261" spans="3:4" x14ac:dyDescent="0.25">
      <c r="C261" s="145"/>
      <c r="D261" s="146"/>
    </row>
    <row r="262" spans="3:4" x14ac:dyDescent="0.25">
      <c r="C262" s="143"/>
      <c r="D262" s="144"/>
    </row>
    <row r="263" spans="3:4" x14ac:dyDescent="0.25">
      <c r="C263" s="145"/>
      <c r="D263" s="146"/>
    </row>
    <row r="264" spans="3:4" x14ac:dyDescent="0.25">
      <c r="C264" s="143"/>
      <c r="D264" s="144"/>
    </row>
    <row r="265" spans="3:4" x14ac:dyDescent="0.25">
      <c r="C265" s="145"/>
      <c r="D265" s="146"/>
    </row>
    <row r="266" spans="3:4" x14ac:dyDescent="0.25">
      <c r="C266" s="143"/>
      <c r="D266" s="144"/>
    </row>
    <row r="267" spans="3:4" x14ac:dyDescent="0.25">
      <c r="C267" s="145"/>
      <c r="D267" s="146"/>
    </row>
    <row r="268" spans="3:4" x14ac:dyDescent="0.25">
      <c r="C268" s="143"/>
      <c r="D268" s="144"/>
    </row>
    <row r="269" spans="3:4" x14ac:dyDescent="0.25">
      <c r="C269" s="145"/>
      <c r="D269" s="146"/>
    </row>
    <row r="270" spans="3:4" x14ac:dyDescent="0.25">
      <c r="C270" s="143"/>
      <c r="D270" s="144"/>
    </row>
    <row r="271" spans="3:4" x14ac:dyDescent="0.25">
      <c r="C271" s="145"/>
      <c r="D271" s="146"/>
    </row>
    <row r="272" spans="3:4" x14ac:dyDescent="0.25">
      <c r="C272" s="143"/>
      <c r="D272" s="144"/>
    </row>
    <row r="273" spans="3:4" x14ac:dyDescent="0.25">
      <c r="C273" s="145"/>
      <c r="D273" s="146"/>
    </row>
    <row r="274" spans="3:4" x14ac:dyDescent="0.25">
      <c r="C274" s="143"/>
      <c r="D274" s="144"/>
    </row>
    <row r="275" spans="3:4" x14ac:dyDescent="0.25">
      <c r="C275" s="145"/>
      <c r="D275" s="146"/>
    </row>
    <row r="276" spans="3:4" x14ac:dyDescent="0.25">
      <c r="C276" s="143"/>
      <c r="D276" s="144"/>
    </row>
    <row r="277" spans="3:4" x14ac:dyDescent="0.25">
      <c r="C277" s="145"/>
      <c r="D277" s="146"/>
    </row>
    <row r="278" spans="3:4" x14ac:dyDescent="0.25">
      <c r="C278" s="143"/>
      <c r="D278" s="144"/>
    </row>
    <row r="279" spans="3:4" x14ac:dyDescent="0.25">
      <c r="C279" s="145"/>
      <c r="D279" s="146"/>
    </row>
    <row r="280" spans="3:4" x14ac:dyDescent="0.25">
      <c r="C280" s="143"/>
      <c r="D280" s="144"/>
    </row>
    <row r="281" spans="3:4" x14ac:dyDescent="0.25">
      <c r="C281" s="145"/>
      <c r="D281" s="146"/>
    </row>
    <row r="282" spans="3:4" x14ac:dyDescent="0.25">
      <c r="C282" s="143"/>
      <c r="D282" s="144"/>
    </row>
    <row r="283" spans="3:4" x14ac:dyDescent="0.25">
      <c r="C283" s="145"/>
      <c r="D283" s="146"/>
    </row>
    <row r="284" spans="3:4" x14ac:dyDescent="0.25">
      <c r="C284" s="143"/>
      <c r="D284" s="144"/>
    </row>
    <row r="285" spans="3:4" x14ac:dyDescent="0.25">
      <c r="C285" s="145"/>
      <c r="D285" s="146"/>
    </row>
    <row r="286" spans="3:4" x14ac:dyDescent="0.25">
      <c r="C286" s="143"/>
      <c r="D286" s="144"/>
    </row>
    <row r="287" spans="3:4" x14ac:dyDescent="0.25">
      <c r="C287" s="145"/>
      <c r="D287" s="146"/>
    </row>
    <row r="288" spans="3:4" x14ac:dyDescent="0.25">
      <c r="C288" s="143"/>
      <c r="D288" s="144"/>
    </row>
    <row r="289" spans="3:4" x14ac:dyDescent="0.25">
      <c r="C289" s="145"/>
      <c r="D289" s="146"/>
    </row>
    <row r="290" spans="3:4" x14ac:dyDescent="0.25">
      <c r="C290" s="143"/>
      <c r="D290" s="144"/>
    </row>
    <row r="291" spans="3:4" x14ac:dyDescent="0.25">
      <c r="C291" s="145"/>
      <c r="D291" s="146"/>
    </row>
    <row r="292" spans="3:4" x14ac:dyDescent="0.25">
      <c r="C292" s="143"/>
      <c r="D292" s="144"/>
    </row>
    <row r="293" spans="3:4" x14ac:dyDescent="0.25">
      <c r="C293" s="145"/>
      <c r="D293" s="146"/>
    </row>
    <row r="294" spans="3:4" x14ac:dyDescent="0.25">
      <c r="C294" s="143"/>
      <c r="D294" s="144"/>
    </row>
    <row r="295" spans="3:4" x14ac:dyDescent="0.25">
      <c r="C295" s="145"/>
      <c r="D295" s="146"/>
    </row>
    <row r="296" spans="3:4" x14ac:dyDescent="0.25">
      <c r="C296" s="143"/>
      <c r="D296" s="144"/>
    </row>
    <row r="297" spans="3:4" x14ac:dyDescent="0.25">
      <c r="C297" s="145"/>
      <c r="D297" s="146"/>
    </row>
    <row r="298" spans="3:4" x14ac:dyDescent="0.25">
      <c r="C298" s="143"/>
      <c r="D298" s="144"/>
    </row>
    <row r="299" spans="3:4" x14ac:dyDescent="0.25">
      <c r="C299" s="145"/>
      <c r="D299" s="146"/>
    </row>
    <row r="300" spans="3:4" x14ac:dyDescent="0.25">
      <c r="C300" s="143"/>
      <c r="D300" s="144"/>
    </row>
    <row r="301" spans="3:4" x14ac:dyDescent="0.25">
      <c r="C301" s="145"/>
      <c r="D301" s="146"/>
    </row>
    <row r="302" spans="3:4" x14ac:dyDescent="0.25">
      <c r="C302" s="143"/>
      <c r="D302" s="144"/>
    </row>
    <row r="303" spans="3:4" x14ac:dyDescent="0.25">
      <c r="C303" s="145"/>
      <c r="D303" s="146"/>
    </row>
    <row r="304" spans="3:4" x14ac:dyDescent="0.25">
      <c r="C304" s="143"/>
      <c r="D304" s="144"/>
    </row>
    <row r="305" spans="3:4" x14ac:dyDescent="0.25">
      <c r="C305" s="145"/>
      <c r="D305" s="146"/>
    </row>
    <row r="306" spans="3:4" x14ac:dyDescent="0.25">
      <c r="C306" s="143"/>
      <c r="D306" s="144"/>
    </row>
    <row r="307" spans="3:4" x14ac:dyDescent="0.25">
      <c r="C307" s="145"/>
      <c r="D307" s="146"/>
    </row>
    <row r="308" spans="3:4" x14ac:dyDescent="0.25">
      <c r="C308" s="143"/>
      <c r="D308" s="144"/>
    </row>
    <row r="309" spans="3:4" x14ac:dyDescent="0.25">
      <c r="C309" s="145"/>
      <c r="D309" s="146"/>
    </row>
    <row r="310" spans="3:4" x14ac:dyDescent="0.25">
      <c r="C310" s="143"/>
      <c r="D310" s="144"/>
    </row>
    <row r="311" spans="3:4" x14ac:dyDescent="0.25">
      <c r="C311" s="145"/>
      <c r="D311" s="146"/>
    </row>
    <row r="312" spans="3:4" x14ac:dyDescent="0.25">
      <c r="C312" s="143"/>
      <c r="D312" s="144"/>
    </row>
    <row r="313" spans="3:4" x14ac:dyDescent="0.25">
      <c r="C313" s="145"/>
      <c r="D313" s="146"/>
    </row>
    <row r="314" spans="3:4" x14ac:dyDescent="0.25">
      <c r="C314" s="143"/>
      <c r="D314" s="144"/>
    </row>
    <row r="315" spans="3:4" x14ac:dyDescent="0.25">
      <c r="C315" s="145"/>
      <c r="D315" s="146"/>
    </row>
    <row r="316" spans="3:4" x14ac:dyDescent="0.25">
      <c r="C316" s="143"/>
      <c r="D316" s="144"/>
    </row>
    <row r="317" spans="3:4" x14ac:dyDescent="0.25">
      <c r="C317" s="145"/>
      <c r="D317" s="146"/>
    </row>
    <row r="318" spans="3:4" x14ac:dyDescent="0.25">
      <c r="C318" s="143"/>
      <c r="D318" s="144"/>
    </row>
    <row r="319" spans="3:4" x14ac:dyDescent="0.25">
      <c r="C319" s="145"/>
      <c r="D319" s="146"/>
    </row>
    <row r="320" spans="3:4" x14ac:dyDescent="0.25">
      <c r="C320" s="143"/>
      <c r="D320" s="144"/>
    </row>
    <row r="321" spans="3:4" x14ac:dyDescent="0.25">
      <c r="C321" s="145"/>
      <c r="D321" s="146"/>
    </row>
    <row r="322" spans="3:4" x14ac:dyDescent="0.25">
      <c r="C322" s="143"/>
      <c r="D322" s="144"/>
    </row>
    <row r="323" spans="3:4" x14ac:dyDescent="0.25">
      <c r="C323" s="145"/>
      <c r="D323" s="146"/>
    </row>
    <row r="324" spans="3:4" x14ac:dyDescent="0.25">
      <c r="C324" s="143"/>
      <c r="D324" s="144"/>
    </row>
    <row r="325" spans="3:4" x14ac:dyDescent="0.25">
      <c r="C325" s="145"/>
      <c r="D325" s="146"/>
    </row>
    <row r="326" spans="3:4" x14ac:dyDescent="0.25">
      <c r="C326" s="143"/>
      <c r="D326" s="144"/>
    </row>
    <row r="327" spans="3:4" x14ac:dyDescent="0.25">
      <c r="C327" s="145"/>
      <c r="D327" s="146"/>
    </row>
    <row r="328" spans="3:4" x14ac:dyDescent="0.25">
      <c r="C328" s="143"/>
      <c r="D328" s="144"/>
    </row>
    <row r="329" spans="3:4" x14ac:dyDescent="0.25">
      <c r="C329" s="145"/>
      <c r="D329" s="146"/>
    </row>
    <row r="330" spans="3:4" x14ac:dyDescent="0.25">
      <c r="C330" s="143"/>
      <c r="D330" s="144"/>
    </row>
    <row r="331" spans="3:4" x14ac:dyDescent="0.25">
      <c r="C331" s="145"/>
      <c r="D331" s="146"/>
    </row>
    <row r="332" spans="3:4" x14ac:dyDescent="0.25">
      <c r="C332" s="143"/>
      <c r="D332" s="144"/>
    </row>
    <row r="333" spans="3:4" x14ac:dyDescent="0.25">
      <c r="C333" s="145"/>
      <c r="D333" s="146"/>
    </row>
    <row r="334" spans="3:4" x14ac:dyDescent="0.25">
      <c r="C334" s="143"/>
      <c r="D334" s="144"/>
    </row>
    <row r="335" spans="3:4" x14ac:dyDescent="0.25">
      <c r="C335" s="145"/>
      <c r="D335" s="146"/>
    </row>
    <row r="336" spans="3:4" x14ac:dyDescent="0.25">
      <c r="C336" s="143"/>
      <c r="D336" s="144"/>
    </row>
    <row r="337" spans="3:4" x14ac:dyDescent="0.25">
      <c r="C337" s="145"/>
      <c r="D337" s="146"/>
    </row>
    <row r="338" spans="3:4" x14ac:dyDescent="0.25">
      <c r="C338" s="143"/>
      <c r="D338" s="144"/>
    </row>
    <row r="339" spans="3:4" x14ac:dyDescent="0.25">
      <c r="C339" s="145"/>
      <c r="D339" s="146"/>
    </row>
    <row r="340" spans="3:4" x14ac:dyDescent="0.25">
      <c r="C340" s="143"/>
      <c r="D340" s="144"/>
    </row>
    <row r="341" spans="3:4" x14ac:dyDescent="0.25">
      <c r="C341" s="145"/>
      <c r="D341" s="146"/>
    </row>
    <row r="342" spans="3:4" x14ac:dyDescent="0.25">
      <c r="C342" s="143"/>
      <c r="D342" s="144"/>
    </row>
    <row r="343" spans="3:4" x14ac:dyDescent="0.25">
      <c r="C343" s="145"/>
      <c r="D343" s="146"/>
    </row>
    <row r="344" spans="3:4" x14ac:dyDescent="0.25">
      <c r="C344" s="143"/>
      <c r="D344" s="144"/>
    </row>
    <row r="345" spans="3:4" x14ac:dyDescent="0.25">
      <c r="C345" s="145"/>
      <c r="D345" s="146"/>
    </row>
    <row r="346" spans="3:4" x14ac:dyDescent="0.25">
      <c r="C346" s="143"/>
      <c r="D346" s="144"/>
    </row>
    <row r="347" spans="3:4" x14ac:dyDescent="0.25">
      <c r="C347" s="145"/>
      <c r="D347" s="146"/>
    </row>
    <row r="348" spans="3:4" x14ac:dyDescent="0.25">
      <c r="C348" s="143"/>
      <c r="D348" s="144"/>
    </row>
    <row r="349" spans="3:4" x14ac:dyDescent="0.25">
      <c r="C349" s="145"/>
      <c r="D349" s="146"/>
    </row>
    <row r="350" spans="3:4" x14ac:dyDescent="0.25">
      <c r="C350" s="143"/>
      <c r="D350" s="144"/>
    </row>
    <row r="351" spans="3:4" x14ac:dyDescent="0.25">
      <c r="C351" s="145"/>
      <c r="D351" s="146"/>
    </row>
    <row r="352" spans="3:4" x14ac:dyDescent="0.25">
      <c r="C352" s="143"/>
      <c r="D352" s="144"/>
    </row>
    <row r="353" spans="3:4" x14ac:dyDescent="0.25">
      <c r="C353" s="145"/>
      <c r="D353" s="146"/>
    </row>
    <row r="354" spans="3:4" x14ac:dyDescent="0.25">
      <c r="C354" s="143"/>
      <c r="D354" s="144"/>
    </row>
    <row r="355" spans="3:4" x14ac:dyDescent="0.25">
      <c r="C355" s="145"/>
      <c r="D355" s="146"/>
    </row>
    <row r="356" spans="3:4" x14ac:dyDescent="0.25">
      <c r="C356" s="143"/>
      <c r="D356" s="144"/>
    </row>
    <row r="357" spans="3:4" x14ac:dyDescent="0.25">
      <c r="C357" s="145"/>
      <c r="D357" s="146"/>
    </row>
    <row r="358" spans="3:4" x14ac:dyDescent="0.25">
      <c r="C358" s="143"/>
      <c r="D358" s="144"/>
    </row>
    <row r="359" spans="3:4" x14ac:dyDescent="0.25">
      <c r="C359" s="145"/>
      <c r="D359" s="146"/>
    </row>
    <row r="360" spans="3:4" x14ac:dyDescent="0.25">
      <c r="C360" s="143"/>
      <c r="D360" s="144"/>
    </row>
    <row r="361" spans="3:4" x14ac:dyDescent="0.25">
      <c r="C361" s="145"/>
      <c r="D361" s="146"/>
    </row>
    <row r="362" spans="3:4" x14ac:dyDescent="0.25">
      <c r="C362" s="143"/>
      <c r="D362" s="144"/>
    </row>
    <row r="363" spans="3:4" x14ac:dyDescent="0.25">
      <c r="C363" s="145"/>
      <c r="D363" s="146"/>
    </row>
    <row r="364" spans="3:4" x14ac:dyDescent="0.25">
      <c r="C364" s="143"/>
      <c r="D364" s="144"/>
    </row>
    <row r="365" spans="3:4" x14ac:dyDescent="0.25">
      <c r="C365" s="145"/>
      <c r="D365" s="146"/>
    </row>
    <row r="366" spans="3:4" x14ac:dyDescent="0.25">
      <c r="C366" s="143"/>
      <c r="D366" s="144"/>
    </row>
    <row r="367" spans="3:4" x14ac:dyDescent="0.25">
      <c r="C367" s="145"/>
      <c r="D367" s="146"/>
    </row>
    <row r="368" spans="3:4" x14ac:dyDescent="0.25">
      <c r="C368" s="143"/>
      <c r="D368" s="144"/>
    </row>
    <row r="369" spans="3:4" x14ac:dyDescent="0.25">
      <c r="C369" s="145"/>
      <c r="D369" s="146"/>
    </row>
    <row r="370" spans="3:4" x14ac:dyDescent="0.25">
      <c r="C370" s="143"/>
      <c r="D370" s="144"/>
    </row>
    <row r="371" spans="3:4" x14ac:dyDescent="0.25">
      <c r="C371" s="145"/>
      <c r="D371" s="146"/>
    </row>
    <row r="372" spans="3:4" x14ac:dyDescent="0.25">
      <c r="C372" s="143"/>
      <c r="D372" s="144"/>
    </row>
    <row r="373" spans="3:4" x14ac:dyDescent="0.25">
      <c r="C373" s="145"/>
      <c r="D373" s="146"/>
    </row>
    <row r="374" spans="3:4" x14ac:dyDescent="0.25">
      <c r="C374" s="143"/>
      <c r="D374" s="144"/>
    </row>
    <row r="375" spans="3:4" x14ac:dyDescent="0.25">
      <c r="C375" s="145"/>
      <c r="D375" s="146"/>
    </row>
    <row r="376" spans="3:4" x14ac:dyDescent="0.25">
      <c r="C376" s="143"/>
      <c r="D376" s="144"/>
    </row>
    <row r="377" spans="3:4" x14ac:dyDescent="0.25">
      <c r="C377" s="145"/>
      <c r="D377" s="146"/>
    </row>
    <row r="378" spans="3:4" x14ac:dyDescent="0.25">
      <c r="C378" s="143"/>
      <c r="D378" s="144"/>
    </row>
    <row r="379" spans="3:4" x14ac:dyDescent="0.25">
      <c r="C379" s="145"/>
      <c r="D379" s="146"/>
    </row>
    <row r="380" spans="3:4" x14ac:dyDescent="0.25">
      <c r="C380" s="143"/>
      <c r="D380" s="144"/>
    </row>
    <row r="381" spans="3:4" x14ac:dyDescent="0.25">
      <c r="C381" s="145"/>
      <c r="D381" s="146"/>
    </row>
    <row r="382" spans="3:4" x14ac:dyDescent="0.25">
      <c r="C382" s="143"/>
      <c r="D382" s="144"/>
    </row>
    <row r="383" spans="3:4" x14ac:dyDescent="0.25">
      <c r="C383" s="145"/>
      <c r="D383" s="146"/>
    </row>
    <row r="384" spans="3:4" x14ac:dyDescent="0.25">
      <c r="C384" s="143"/>
      <c r="D384" s="144"/>
    </row>
    <row r="385" spans="3:4" x14ac:dyDescent="0.25">
      <c r="C385" s="145"/>
      <c r="D385" s="146"/>
    </row>
    <row r="386" spans="3:4" x14ac:dyDescent="0.25">
      <c r="C386" s="143"/>
      <c r="D386" s="144"/>
    </row>
    <row r="387" spans="3:4" x14ac:dyDescent="0.25">
      <c r="C387" s="145"/>
      <c r="D387" s="146"/>
    </row>
    <row r="388" spans="3:4" x14ac:dyDescent="0.25">
      <c r="C388" s="143"/>
      <c r="D388" s="144"/>
    </row>
    <row r="389" spans="3:4" x14ac:dyDescent="0.25">
      <c r="C389" s="145"/>
      <c r="D389" s="146"/>
    </row>
    <row r="390" spans="3:4" x14ac:dyDescent="0.25">
      <c r="C390" s="143"/>
      <c r="D390" s="144"/>
    </row>
    <row r="391" spans="3:4" x14ac:dyDescent="0.25">
      <c r="C391" s="145"/>
      <c r="D391" s="146"/>
    </row>
    <row r="392" spans="3:4" x14ac:dyDescent="0.25">
      <c r="C392" s="143"/>
      <c r="D392" s="144"/>
    </row>
    <row r="393" spans="3:4" x14ac:dyDescent="0.25">
      <c r="C393" s="145"/>
      <c r="D393" s="146"/>
    </row>
    <row r="394" spans="3:4" x14ac:dyDescent="0.25">
      <c r="C394" s="143"/>
      <c r="D394" s="144"/>
    </row>
    <row r="395" spans="3:4" x14ac:dyDescent="0.25">
      <c r="C395" s="145"/>
      <c r="D395" s="146"/>
    </row>
    <row r="396" spans="3:4" x14ac:dyDescent="0.25">
      <c r="C396" s="143"/>
      <c r="D396" s="144"/>
    </row>
    <row r="397" spans="3:4" x14ac:dyDescent="0.25">
      <c r="C397" s="145"/>
      <c r="D397" s="146"/>
    </row>
    <row r="398" spans="3:4" x14ac:dyDescent="0.25">
      <c r="C398" s="143"/>
      <c r="D398" s="144"/>
    </row>
    <row r="399" spans="3:4" x14ac:dyDescent="0.25">
      <c r="C399" s="145"/>
      <c r="D399" s="146"/>
    </row>
    <row r="400" spans="3:4" x14ac:dyDescent="0.25">
      <c r="C400" s="143"/>
      <c r="D400" s="144"/>
    </row>
    <row r="401" spans="3:4" x14ac:dyDescent="0.25">
      <c r="C401" s="145"/>
      <c r="D401" s="146"/>
    </row>
    <row r="402" spans="3:4" x14ac:dyDescent="0.25">
      <c r="C402" s="143"/>
      <c r="D402" s="144"/>
    </row>
    <row r="403" spans="3:4" x14ac:dyDescent="0.25">
      <c r="C403" s="145"/>
      <c r="D403" s="146"/>
    </row>
    <row r="404" spans="3:4" x14ac:dyDescent="0.25">
      <c r="C404" s="143"/>
      <c r="D404" s="144"/>
    </row>
    <row r="405" spans="3:4" x14ac:dyDescent="0.25">
      <c r="C405" s="145"/>
      <c r="D405" s="146"/>
    </row>
    <row r="406" spans="3:4" x14ac:dyDescent="0.25">
      <c r="C406" s="143"/>
      <c r="D406" s="144"/>
    </row>
    <row r="407" spans="3:4" x14ac:dyDescent="0.25">
      <c r="C407" s="145"/>
      <c r="D407" s="146"/>
    </row>
    <row r="408" spans="3:4" x14ac:dyDescent="0.25">
      <c r="C408" s="143"/>
      <c r="D408" s="144"/>
    </row>
    <row r="409" spans="3:4" x14ac:dyDescent="0.25">
      <c r="C409" s="145"/>
      <c r="D409" s="146"/>
    </row>
    <row r="410" spans="3:4" x14ac:dyDescent="0.25">
      <c r="C410" s="143"/>
      <c r="D410" s="144"/>
    </row>
    <row r="411" spans="3:4" x14ac:dyDescent="0.25">
      <c r="C411" s="145"/>
      <c r="D411" s="146"/>
    </row>
    <row r="412" spans="3:4" x14ac:dyDescent="0.25">
      <c r="C412" s="143"/>
      <c r="D412" s="144"/>
    </row>
    <row r="413" spans="3:4" x14ac:dyDescent="0.25">
      <c r="C413" s="145"/>
      <c r="D413" s="146"/>
    </row>
    <row r="414" spans="3:4" x14ac:dyDescent="0.25">
      <c r="C414" s="143"/>
      <c r="D414" s="144"/>
    </row>
    <row r="415" spans="3:4" x14ac:dyDescent="0.25">
      <c r="C415" s="145"/>
      <c r="D415" s="146"/>
    </row>
    <row r="416" spans="3:4" x14ac:dyDescent="0.25">
      <c r="C416" s="143"/>
      <c r="D416" s="144"/>
    </row>
    <row r="417" spans="3:4" x14ac:dyDescent="0.25">
      <c r="C417" s="145"/>
      <c r="D417" s="146"/>
    </row>
    <row r="418" spans="3:4" x14ac:dyDescent="0.25">
      <c r="C418" s="143"/>
      <c r="D418" s="144"/>
    </row>
    <row r="419" spans="3:4" x14ac:dyDescent="0.25">
      <c r="C419" s="145"/>
      <c r="D419" s="146"/>
    </row>
    <row r="420" spans="3:4" x14ac:dyDescent="0.25">
      <c r="C420" s="143"/>
      <c r="D420" s="144"/>
    </row>
    <row r="421" spans="3:4" x14ac:dyDescent="0.25">
      <c r="C421" s="145"/>
      <c r="D421" s="146"/>
    </row>
    <row r="422" spans="3:4" x14ac:dyDescent="0.25">
      <c r="C422" s="143"/>
      <c r="D422" s="144"/>
    </row>
    <row r="423" spans="3:4" x14ac:dyDescent="0.25">
      <c r="C423" s="145"/>
      <c r="D423" s="146"/>
    </row>
    <row r="424" spans="3:4" x14ac:dyDescent="0.25">
      <c r="C424" s="143"/>
      <c r="D424" s="144"/>
    </row>
    <row r="425" spans="3:4" x14ac:dyDescent="0.25">
      <c r="C425" s="145"/>
      <c r="D425" s="146"/>
    </row>
    <row r="426" spans="3:4" x14ac:dyDescent="0.25">
      <c r="C426" s="143"/>
      <c r="D426" s="144"/>
    </row>
    <row r="427" spans="3:4" x14ac:dyDescent="0.25">
      <c r="C427" s="145"/>
      <c r="D427" s="146"/>
    </row>
    <row r="428" spans="3:4" x14ac:dyDescent="0.25">
      <c r="C428" s="143"/>
      <c r="D428" s="144"/>
    </row>
    <row r="429" spans="3:4" x14ac:dyDescent="0.25">
      <c r="C429" s="145"/>
      <c r="D429" s="146"/>
    </row>
    <row r="430" spans="3:4" x14ac:dyDescent="0.25">
      <c r="C430" s="143"/>
      <c r="D430" s="144"/>
    </row>
    <row r="431" spans="3:4" x14ac:dyDescent="0.25">
      <c r="C431" s="145"/>
      <c r="D431" s="146"/>
    </row>
    <row r="432" spans="3:4" x14ac:dyDescent="0.25">
      <c r="C432" s="143"/>
      <c r="D432" s="144"/>
    </row>
    <row r="433" spans="3:4" x14ac:dyDescent="0.25">
      <c r="C433" s="145"/>
      <c r="D433" s="146"/>
    </row>
    <row r="434" spans="3:4" x14ac:dyDescent="0.25">
      <c r="C434" s="143"/>
      <c r="D434" s="144"/>
    </row>
    <row r="435" spans="3:4" x14ac:dyDescent="0.25">
      <c r="C435" s="145"/>
      <c r="D435" s="146"/>
    </row>
    <row r="436" spans="3:4" x14ac:dyDescent="0.25">
      <c r="C436" s="143"/>
      <c r="D436" s="144"/>
    </row>
    <row r="437" spans="3:4" x14ac:dyDescent="0.25">
      <c r="C437" s="145"/>
      <c r="D437" s="146"/>
    </row>
    <row r="438" spans="3:4" x14ac:dyDescent="0.25">
      <c r="C438" s="143"/>
      <c r="D438" s="144"/>
    </row>
    <row r="439" spans="3:4" x14ac:dyDescent="0.25">
      <c r="C439" s="145"/>
      <c r="D439" s="146"/>
    </row>
    <row r="440" spans="3:4" x14ac:dyDescent="0.25">
      <c r="C440" s="143"/>
      <c r="D440" s="144"/>
    </row>
    <row r="441" spans="3:4" x14ac:dyDescent="0.25">
      <c r="C441" s="145"/>
      <c r="D441" s="146"/>
    </row>
    <row r="442" spans="3:4" x14ac:dyDescent="0.25">
      <c r="C442" s="143"/>
      <c r="D442" s="144"/>
    </row>
    <row r="443" spans="3:4" x14ac:dyDescent="0.25">
      <c r="C443" s="145"/>
      <c r="D443" s="146"/>
    </row>
    <row r="444" spans="3:4" x14ac:dyDescent="0.25">
      <c r="C444" s="143"/>
      <c r="D444" s="144"/>
    </row>
    <row r="445" spans="3:4" x14ac:dyDescent="0.25">
      <c r="C445" s="145"/>
      <c r="D445" s="146"/>
    </row>
    <row r="446" spans="3:4" x14ac:dyDescent="0.25">
      <c r="C446" s="143"/>
      <c r="D446" s="144"/>
    </row>
    <row r="447" spans="3:4" x14ac:dyDescent="0.25">
      <c r="C447" s="145"/>
      <c r="D447" s="146"/>
    </row>
    <row r="448" spans="3:4" x14ac:dyDescent="0.25">
      <c r="C448" s="143"/>
      <c r="D448" s="144"/>
    </row>
    <row r="449" spans="3:4" x14ac:dyDescent="0.25">
      <c r="C449" s="145"/>
      <c r="D449" s="146"/>
    </row>
    <row r="450" spans="3:4" x14ac:dyDescent="0.25">
      <c r="C450" s="143"/>
      <c r="D450" s="144"/>
    </row>
    <row r="451" spans="3:4" x14ac:dyDescent="0.25">
      <c r="C451" s="145"/>
      <c r="D451" s="146"/>
    </row>
    <row r="452" spans="3:4" x14ac:dyDescent="0.25">
      <c r="C452" s="143"/>
      <c r="D452" s="144"/>
    </row>
    <row r="453" spans="3:4" x14ac:dyDescent="0.25">
      <c r="C453" s="145"/>
      <c r="D453" s="146"/>
    </row>
    <row r="454" spans="3:4" x14ac:dyDescent="0.25">
      <c r="C454" s="143"/>
      <c r="D454" s="144"/>
    </row>
    <row r="455" spans="3:4" x14ac:dyDescent="0.25">
      <c r="C455" s="145"/>
      <c r="D455" s="146"/>
    </row>
    <row r="456" spans="3:4" x14ac:dyDescent="0.25">
      <c r="C456" s="143"/>
      <c r="D456" s="144"/>
    </row>
    <row r="457" spans="3:4" x14ac:dyDescent="0.25">
      <c r="C457" s="145"/>
      <c r="D457" s="146"/>
    </row>
    <row r="458" spans="3:4" x14ac:dyDescent="0.25">
      <c r="C458" s="143"/>
      <c r="D458" s="144"/>
    </row>
    <row r="459" spans="3:4" x14ac:dyDescent="0.25">
      <c r="C459" s="145"/>
      <c r="D459" s="146"/>
    </row>
    <row r="460" spans="3:4" x14ac:dyDescent="0.25">
      <c r="C460" s="143"/>
      <c r="D460" s="144"/>
    </row>
    <row r="461" spans="3:4" x14ac:dyDescent="0.25">
      <c r="C461" s="145"/>
      <c r="D461" s="146"/>
    </row>
    <row r="462" spans="3:4" x14ac:dyDescent="0.25">
      <c r="C462" s="143"/>
      <c r="D462" s="144"/>
    </row>
    <row r="463" spans="3:4" x14ac:dyDescent="0.25">
      <c r="C463" s="145"/>
      <c r="D463" s="146"/>
    </row>
    <row r="464" spans="3:4" x14ac:dyDescent="0.25">
      <c r="C464" s="143"/>
      <c r="D464" s="144"/>
    </row>
    <row r="465" spans="3:4" x14ac:dyDescent="0.25">
      <c r="C465" s="145"/>
      <c r="D465" s="146"/>
    </row>
    <row r="466" spans="3:4" x14ac:dyDescent="0.25">
      <c r="C466" s="143"/>
      <c r="D466" s="144"/>
    </row>
    <row r="467" spans="3:4" x14ac:dyDescent="0.25">
      <c r="C467" s="145"/>
      <c r="D467" s="146"/>
    </row>
    <row r="468" spans="3:4" x14ac:dyDescent="0.25">
      <c r="C468" s="143"/>
      <c r="D468" s="144"/>
    </row>
    <row r="469" spans="3:4" x14ac:dyDescent="0.25">
      <c r="C469" s="145"/>
      <c r="D469" s="146"/>
    </row>
    <row r="470" spans="3:4" x14ac:dyDescent="0.25">
      <c r="C470" s="143"/>
      <c r="D470" s="144"/>
    </row>
    <row r="471" spans="3:4" x14ac:dyDescent="0.25">
      <c r="C471" s="145"/>
      <c r="D471" s="146"/>
    </row>
    <row r="472" spans="3:4" x14ac:dyDescent="0.25">
      <c r="C472" s="143"/>
      <c r="D472" s="144"/>
    </row>
    <row r="473" spans="3:4" x14ac:dyDescent="0.25">
      <c r="C473" s="145"/>
      <c r="D473" s="146"/>
    </row>
    <row r="474" spans="3:4" x14ac:dyDescent="0.25">
      <c r="C474" s="143"/>
      <c r="D474" s="144"/>
    </row>
    <row r="475" spans="3:4" x14ac:dyDescent="0.25">
      <c r="C475" s="145"/>
      <c r="D475" s="146"/>
    </row>
    <row r="476" spans="3:4" x14ac:dyDescent="0.25">
      <c r="C476" s="143"/>
      <c r="D476" s="144"/>
    </row>
    <row r="477" spans="3:4" x14ac:dyDescent="0.25">
      <c r="C477" s="145"/>
      <c r="D477" s="146"/>
    </row>
    <row r="478" spans="3:4" x14ac:dyDescent="0.25">
      <c r="C478" s="143"/>
      <c r="D478" s="144"/>
    </row>
    <row r="479" spans="3:4" x14ac:dyDescent="0.25">
      <c r="C479" s="145"/>
      <c r="D479" s="146"/>
    </row>
    <row r="480" spans="3:4" x14ac:dyDescent="0.25">
      <c r="C480" s="143"/>
      <c r="D480" s="144"/>
    </row>
    <row r="481" spans="3:4" x14ac:dyDescent="0.25">
      <c r="C481" s="145"/>
      <c r="D481" s="146"/>
    </row>
    <row r="482" spans="3:4" x14ac:dyDescent="0.25">
      <c r="C482" s="143"/>
      <c r="D482" s="144"/>
    </row>
    <row r="483" spans="3:4" x14ac:dyDescent="0.25">
      <c r="C483" s="145"/>
      <c r="D483" s="146"/>
    </row>
    <row r="484" spans="3:4" x14ac:dyDescent="0.25">
      <c r="C484" s="143"/>
      <c r="D484" s="144"/>
    </row>
    <row r="485" spans="3:4" x14ac:dyDescent="0.25">
      <c r="C485" s="145"/>
      <c r="D485" s="146"/>
    </row>
    <row r="486" spans="3:4" x14ac:dyDescent="0.25">
      <c r="C486" s="143"/>
      <c r="D486" s="144"/>
    </row>
    <row r="487" spans="3:4" x14ac:dyDescent="0.25">
      <c r="C487" s="145"/>
      <c r="D487" s="146"/>
    </row>
    <row r="488" spans="3:4" x14ac:dyDescent="0.25">
      <c r="C488" s="143"/>
      <c r="D488" s="144"/>
    </row>
    <row r="489" spans="3:4" x14ac:dyDescent="0.25">
      <c r="C489" s="145"/>
      <c r="D489" s="146"/>
    </row>
    <row r="490" spans="3:4" x14ac:dyDescent="0.25">
      <c r="C490" s="143"/>
      <c r="D490" s="144"/>
    </row>
    <row r="491" spans="3:4" x14ac:dyDescent="0.25">
      <c r="C491" s="145"/>
      <c r="D491" s="146"/>
    </row>
    <row r="492" spans="3:4" x14ac:dyDescent="0.25">
      <c r="C492" s="143"/>
      <c r="D492" s="144"/>
    </row>
    <row r="493" spans="3:4" x14ac:dyDescent="0.25">
      <c r="C493" s="145"/>
      <c r="D493" s="146"/>
    </row>
    <row r="494" spans="3:4" x14ac:dyDescent="0.25">
      <c r="C494" s="143"/>
      <c r="D494" s="144"/>
    </row>
    <row r="495" spans="3:4" x14ac:dyDescent="0.25">
      <c r="C495" s="145"/>
      <c r="D495" s="146"/>
    </row>
    <row r="496" spans="3:4" x14ac:dyDescent="0.25">
      <c r="C496" s="143"/>
      <c r="D496" s="144"/>
    </row>
    <row r="497" spans="3:4" x14ac:dyDescent="0.25">
      <c r="C497" s="145"/>
      <c r="D497" s="146"/>
    </row>
    <row r="498" spans="3:4" x14ac:dyDescent="0.25">
      <c r="C498" s="143"/>
      <c r="D498" s="144"/>
    </row>
    <row r="499" spans="3:4" x14ac:dyDescent="0.25">
      <c r="C499" s="145"/>
      <c r="D499" s="146"/>
    </row>
    <row r="500" spans="3:4" x14ac:dyDescent="0.25">
      <c r="C500" s="143"/>
      <c r="D500" s="144"/>
    </row>
    <row r="501" spans="3:4" x14ac:dyDescent="0.25">
      <c r="C501" s="145"/>
      <c r="D501" s="146"/>
    </row>
    <row r="502" spans="3:4" x14ac:dyDescent="0.25">
      <c r="C502" s="143"/>
      <c r="D502" s="144"/>
    </row>
    <row r="503" spans="3:4" x14ac:dyDescent="0.25">
      <c r="C503" s="145"/>
      <c r="D503" s="146"/>
    </row>
    <row r="504" spans="3:4" x14ac:dyDescent="0.25">
      <c r="C504" s="143"/>
      <c r="D504" s="144"/>
    </row>
    <row r="505" spans="3:4" x14ac:dyDescent="0.25">
      <c r="C505" s="145"/>
      <c r="D505" s="146"/>
    </row>
    <row r="506" spans="3:4" x14ac:dyDescent="0.25">
      <c r="C506" s="143"/>
      <c r="D506" s="144"/>
    </row>
    <row r="507" spans="3:4" x14ac:dyDescent="0.25">
      <c r="C507" s="145"/>
      <c r="D507" s="146"/>
    </row>
    <row r="508" spans="3:4" x14ac:dyDescent="0.25">
      <c r="C508" s="143"/>
      <c r="D508" s="144"/>
    </row>
    <row r="509" spans="3:4" x14ac:dyDescent="0.25">
      <c r="C509" s="145"/>
      <c r="D509" s="146"/>
    </row>
    <row r="510" spans="3:4" x14ac:dyDescent="0.25">
      <c r="C510" s="143"/>
      <c r="D510" s="144"/>
    </row>
    <row r="511" spans="3:4" x14ac:dyDescent="0.25">
      <c r="C511" s="145"/>
      <c r="D511" s="146"/>
    </row>
    <row r="512" spans="3:4" x14ac:dyDescent="0.25">
      <c r="C512" s="143"/>
      <c r="D512" s="144"/>
    </row>
    <row r="513" spans="3:4" x14ac:dyDescent="0.25">
      <c r="C513" s="145"/>
      <c r="D513" s="146"/>
    </row>
    <row r="514" spans="3:4" x14ac:dyDescent="0.25">
      <c r="C514" s="143"/>
      <c r="D514" s="144"/>
    </row>
    <row r="515" spans="3:4" x14ac:dyDescent="0.25">
      <c r="C515" s="145"/>
      <c r="D515" s="146"/>
    </row>
    <row r="516" spans="3:4" x14ac:dyDescent="0.25">
      <c r="C516" s="143"/>
      <c r="D516" s="144"/>
    </row>
    <row r="517" spans="3:4" x14ac:dyDescent="0.25">
      <c r="C517" s="145"/>
      <c r="D517" s="146"/>
    </row>
    <row r="518" spans="3:4" x14ac:dyDescent="0.25">
      <c r="C518" s="143"/>
      <c r="D518" s="144"/>
    </row>
    <row r="519" spans="3:4" x14ac:dyDescent="0.25">
      <c r="C519" s="145"/>
      <c r="D519" s="146"/>
    </row>
    <row r="520" spans="3:4" x14ac:dyDescent="0.25">
      <c r="C520" s="143"/>
      <c r="D520" s="144"/>
    </row>
    <row r="521" spans="3:4" x14ac:dyDescent="0.25">
      <c r="C521" s="145"/>
      <c r="D521" s="146"/>
    </row>
    <row r="522" spans="3:4" x14ac:dyDescent="0.25">
      <c r="C522" s="143"/>
      <c r="D522" s="144"/>
    </row>
    <row r="523" spans="3:4" x14ac:dyDescent="0.25">
      <c r="C523" s="145"/>
      <c r="D523" s="146"/>
    </row>
    <row r="524" spans="3:4" x14ac:dyDescent="0.25">
      <c r="C524" s="143"/>
      <c r="D524" s="144"/>
    </row>
    <row r="525" spans="3:4" x14ac:dyDescent="0.25">
      <c r="C525" s="145"/>
      <c r="D525" s="146"/>
    </row>
    <row r="526" spans="3:4" x14ac:dyDescent="0.25">
      <c r="C526" s="143"/>
      <c r="D526" s="144"/>
    </row>
    <row r="527" spans="3:4" x14ac:dyDescent="0.25">
      <c r="C527" s="145"/>
      <c r="D527" s="146"/>
    </row>
    <row r="528" spans="3:4" x14ac:dyDescent="0.25">
      <c r="C528" s="143"/>
      <c r="D528" s="144"/>
    </row>
    <row r="529" spans="3:4" x14ac:dyDescent="0.25">
      <c r="C529" s="145"/>
      <c r="D529" s="146"/>
    </row>
    <row r="530" spans="3:4" x14ac:dyDescent="0.25">
      <c r="C530" s="143"/>
      <c r="D530" s="144"/>
    </row>
    <row r="531" spans="3:4" x14ac:dyDescent="0.25">
      <c r="C531" s="145"/>
      <c r="D531" s="146"/>
    </row>
    <row r="532" spans="3:4" x14ac:dyDescent="0.25">
      <c r="C532" s="143"/>
      <c r="D532" s="144"/>
    </row>
    <row r="533" spans="3:4" x14ac:dyDescent="0.25">
      <c r="C533" s="145"/>
      <c r="D533" s="146"/>
    </row>
    <row r="534" spans="3:4" x14ac:dyDescent="0.25">
      <c r="C534" s="143"/>
      <c r="D534" s="144"/>
    </row>
    <row r="535" spans="3:4" x14ac:dyDescent="0.25">
      <c r="C535" s="145"/>
      <c r="D535" s="146"/>
    </row>
    <row r="536" spans="3:4" x14ac:dyDescent="0.25">
      <c r="C536" s="143"/>
      <c r="D536" s="144"/>
    </row>
    <row r="537" spans="3:4" x14ac:dyDescent="0.25">
      <c r="C537" s="145"/>
      <c r="D537" s="146"/>
    </row>
    <row r="538" spans="3:4" x14ac:dyDescent="0.25">
      <c r="C538" s="143"/>
      <c r="D538" s="144"/>
    </row>
    <row r="539" spans="3:4" x14ac:dyDescent="0.25">
      <c r="C539" s="145"/>
      <c r="D539" s="146"/>
    </row>
    <row r="540" spans="3:4" x14ac:dyDescent="0.25">
      <c r="C540" s="143"/>
      <c r="D540" s="144"/>
    </row>
    <row r="541" spans="3:4" x14ac:dyDescent="0.25">
      <c r="C541" s="145"/>
      <c r="D541" s="146"/>
    </row>
    <row r="542" spans="3:4" x14ac:dyDescent="0.25">
      <c r="C542" s="143"/>
      <c r="D542" s="144"/>
    </row>
    <row r="543" spans="3:4" x14ac:dyDescent="0.25">
      <c r="C543" s="145"/>
      <c r="D543" s="146"/>
    </row>
    <row r="544" spans="3:4" x14ac:dyDescent="0.25">
      <c r="C544" s="143"/>
      <c r="D544" s="144"/>
    </row>
    <row r="545" spans="3:4" x14ac:dyDescent="0.25">
      <c r="C545" s="145"/>
      <c r="D545" s="146"/>
    </row>
    <row r="546" spans="3:4" x14ac:dyDescent="0.25">
      <c r="C546" s="143"/>
      <c r="D546" s="144"/>
    </row>
    <row r="547" spans="3:4" x14ac:dyDescent="0.25">
      <c r="C547" s="145"/>
      <c r="D547" s="146"/>
    </row>
    <row r="548" spans="3:4" x14ac:dyDescent="0.25">
      <c r="C548" s="143"/>
      <c r="D548" s="144"/>
    </row>
    <row r="549" spans="3:4" x14ac:dyDescent="0.25">
      <c r="C549" s="145"/>
      <c r="D549" s="146"/>
    </row>
    <row r="550" spans="3:4" x14ac:dyDescent="0.25">
      <c r="C550" s="143"/>
      <c r="D550" s="144"/>
    </row>
    <row r="551" spans="3:4" x14ac:dyDescent="0.25">
      <c r="C551" s="145"/>
      <c r="D551" s="146"/>
    </row>
    <row r="552" spans="3:4" x14ac:dyDescent="0.25">
      <c r="C552" s="143"/>
      <c r="D552" s="144"/>
    </row>
    <row r="553" spans="3:4" x14ac:dyDescent="0.25">
      <c r="C553" s="145"/>
      <c r="D553" s="146"/>
    </row>
    <row r="554" spans="3:4" x14ac:dyDescent="0.25">
      <c r="C554" s="143"/>
      <c r="D554" s="144"/>
    </row>
    <row r="555" spans="3:4" x14ac:dyDescent="0.25">
      <c r="C555" s="145"/>
      <c r="D555" s="146"/>
    </row>
    <row r="556" spans="3:4" x14ac:dyDescent="0.25">
      <c r="C556" s="143"/>
      <c r="D556" s="144"/>
    </row>
    <row r="557" spans="3:4" x14ac:dyDescent="0.25">
      <c r="C557" s="145"/>
      <c r="D557" s="146"/>
    </row>
    <row r="558" spans="3:4" x14ac:dyDescent="0.25">
      <c r="C558" s="143"/>
      <c r="D558" s="144"/>
    </row>
    <row r="559" spans="3:4" x14ac:dyDescent="0.25">
      <c r="C559" s="145"/>
      <c r="D559" s="146"/>
    </row>
    <row r="560" spans="3:4" x14ac:dyDescent="0.25">
      <c r="C560" s="143"/>
      <c r="D560" s="144"/>
    </row>
    <row r="561" spans="3:4" x14ac:dyDescent="0.25">
      <c r="C561" s="145"/>
      <c r="D561" s="146"/>
    </row>
    <row r="562" spans="3:4" x14ac:dyDescent="0.25">
      <c r="C562" s="143"/>
      <c r="D562" s="144"/>
    </row>
    <row r="563" spans="3:4" x14ac:dyDescent="0.25">
      <c r="C563" s="145"/>
      <c r="D563" s="146"/>
    </row>
    <row r="564" spans="3:4" x14ac:dyDescent="0.25">
      <c r="C564" s="143"/>
      <c r="D564" s="144"/>
    </row>
    <row r="565" spans="3:4" x14ac:dyDescent="0.25">
      <c r="C565" s="145"/>
      <c r="D565" s="146"/>
    </row>
    <row r="566" spans="3:4" x14ac:dyDescent="0.25">
      <c r="C566" s="143"/>
      <c r="D566" s="144"/>
    </row>
    <row r="567" spans="3:4" x14ac:dyDescent="0.25">
      <c r="C567" s="145"/>
      <c r="D567" s="146"/>
    </row>
    <row r="568" spans="3:4" x14ac:dyDescent="0.25">
      <c r="C568" s="143"/>
      <c r="D568" s="144"/>
    </row>
    <row r="569" spans="3:4" x14ac:dyDescent="0.25">
      <c r="C569" s="145"/>
      <c r="D569" s="146"/>
    </row>
    <row r="570" spans="3:4" x14ac:dyDescent="0.25">
      <c r="C570" s="143"/>
      <c r="D570" s="144"/>
    </row>
    <row r="571" spans="3:4" x14ac:dyDescent="0.25">
      <c r="C571" s="145"/>
      <c r="D571" s="146"/>
    </row>
    <row r="572" spans="3:4" x14ac:dyDescent="0.25">
      <c r="C572" s="143"/>
      <c r="D572" s="144"/>
    </row>
    <row r="573" spans="3:4" x14ac:dyDescent="0.25">
      <c r="C573" s="145"/>
      <c r="D573" s="146"/>
    </row>
    <row r="574" spans="3:4" x14ac:dyDescent="0.25">
      <c r="C574" s="143"/>
      <c r="D574" s="144"/>
    </row>
    <row r="575" spans="3:4" x14ac:dyDescent="0.25">
      <c r="C575" s="145"/>
      <c r="D575" s="146"/>
    </row>
    <row r="576" spans="3:4" x14ac:dyDescent="0.25">
      <c r="C576" s="143"/>
      <c r="D576" s="144"/>
    </row>
    <row r="577" spans="3:4" x14ac:dyDescent="0.25">
      <c r="C577" s="145"/>
      <c r="D577" s="146"/>
    </row>
    <row r="578" spans="3:4" x14ac:dyDescent="0.25">
      <c r="C578" s="143"/>
      <c r="D578" s="144"/>
    </row>
    <row r="579" spans="3:4" x14ac:dyDescent="0.25">
      <c r="C579" s="145"/>
      <c r="D579" s="146"/>
    </row>
    <row r="580" spans="3:4" x14ac:dyDescent="0.25">
      <c r="C580" s="143"/>
      <c r="D580" s="144"/>
    </row>
    <row r="581" spans="3:4" x14ac:dyDescent="0.25">
      <c r="C581" s="145"/>
      <c r="D581" s="146"/>
    </row>
    <row r="582" spans="3:4" x14ac:dyDescent="0.25">
      <c r="C582" s="143"/>
      <c r="D582" s="144"/>
    </row>
    <row r="583" spans="3:4" x14ac:dyDescent="0.25">
      <c r="C583" s="145"/>
      <c r="D583" s="146"/>
    </row>
    <row r="584" spans="3:4" x14ac:dyDescent="0.25">
      <c r="C584" s="143"/>
      <c r="D584" s="144"/>
    </row>
    <row r="585" spans="3:4" x14ac:dyDescent="0.25">
      <c r="C585" s="145"/>
      <c r="D585" s="146"/>
    </row>
    <row r="586" spans="3:4" x14ac:dyDescent="0.25">
      <c r="C586" s="143"/>
      <c r="D586" s="144"/>
    </row>
    <row r="587" spans="3:4" x14ac:dyDescent="0.25">
      <c r="C587" s="145"/>
      <c r="D587" s="146"/>
    </row>
    <row r="588" spans="3:4" x14ac:dyDescent="0.25">
      <c r="C588" s="143"/>
      <c r="D588" s="144"/>
    </row>
    <row r="589" spans="3:4" x14ac:dyDescent="0.25">
      <c r="C589" s="145"/>
      <c r="D589" s="146"/>
    </row>
    <row r="590" spans="3:4" x14ac:dyDescent="0.25">
      <c r="C590" s="143"/>
      <c r="D590" s="144"/>
    </row>
    <row r="591" spans="3:4" x14ac:dyDescent="0.25">
      <c r="C591" s="145"/>
      <c r="D591" s="146"/>
    </row>
    <row r="592" spans="3:4" x14ac:dyDescent="0.25">
      <c r="C592" s="143"/>
      <c r="D592" s="144"/>
    </row>
    <row r="593" spans="3:4" x14ac:dyDescent="0.25">
      <c r="C593" s="145"/>
      <c r="D593" s="146"/>
    </row>
    <row r="594" spans="3:4" x14ac:dyDescent="0.25">
      <c r="C594" s="143"/>
      <c r="D594" s="144"/>
    </row>
    <row r="595" spans="3:4" x14ac:dyDescent="0.25">
      <c r="C595" s="145"/>
      <c r="D595" s="146"/>
    </row>
    <row r="596" spans="3:4" x14ac:dyDescent="0.25">
      <c r="C596" s="143"/>
      <c r="D596" s="144"/>
    </row>
    <row r="597" spans="3:4" x14ac:dyDescent="0.25">
      <c r="C597" s="145"/>
      <c r="D597" s="146"/>
    </row>
    <row r="598" spans="3:4" x14ac:dyDescent="0.25">
      <c r="C598" s="143"/>
      <c r="D598" s="144"/>
    </row>
    <row r="599" spans="3:4" x14ac:dyDescent="0.25">
      <c r="C599" s="145"/>
      <c r="D599" s="146"/>
    </row>
    <row r="600" spans="3:4" x14ac:dyDescent="0.25">
      <c r="C600" s="143"/>
      <c r="D600" s="144"/>
    </row>
    <row r="601" spans="3:4" x14ac:dyDescent="0.25">
      <c r="C601" s="145"/>
      <c r="D601" s="146"/>
    </row>
    <row r="602" spans="3:4" x14ac:dyDescent="0.25">
      <c r="C602" s="143"/>
      <c r="D602" s="144"/>
    </row>
    <row r="603" spans="3:4" x14ac:dyDescent="0.25">
      <c r="C603" s="145"/>
      <c r="D603" s="146"/>
    </row>
    <row r="604" spans="3:4" x14ac:dyDescent="0.25">
      <c r="C604" s="143"/>
      <c r="D604" s="144"/>
    </row>
    <row r="605" spans="3:4" x14ac:dyDescent="0.25">
      <c r="C605" s="145"/>
      <c r="D605" s="146"/>
    </row>
    <row r="606" spans="3:4" x14ac:dyDescent="0.25">
      <c r="C606" s="143"/>
      <c r="D606" s="144"/>
    </row>
    <row r="607" spans="3:4" x14ac:dyDescent="0.25">
      <c r="C607" s="145"/>
      <c r="D607" s="146"/>
    </row>
    <row r="608" spans="3:4" x14ac:dyDescent="0.25">
      <c r="C608" s="143"/>
      <c r="D608" s="144"/>
    </row>
    <row r="609" spans="3:4" x14ac:dyDescent="0.25">
      <c r="C609" s="145"/>
      <c r="D609" s="146"/>
    </row>
    <row r="610" spans="3:4" x14ac:dyDescent="0.25">
      <c r="C610" s="143"/>
      <c r="D610" s="144"/>
    </row>
    <row r="611" spans="3:4" x14ac:dyDescent="0.25">
      <c r="C611" s="145"/>
      <c r="D611" s="146"/>
    </row>
    <row r="612" spans="3:4" x14ac:dyDescent="0.25">
      <c r="C612" s="143"/>
      <c r="D612" s="144"/>
    </row>
    <row r="613" spans="3:4" x14ac:dyDescent="0.25">
      <c r="C613" s="145"/>
      <c r="D613" s="146"/>
    </row>
    <row r="614" spans="3:4" x14ac:dyDescent="0.25">
      <c r="C614" s="143"/>
      <c r="D614" s="144"/>
    </row>
    <row r="615" spans="3:4" x14ac:dyDescent="0.25">
      <c r="C615" s="145"/>
      <c r="D615" s="146"/>
    </row>
    <row r="616" spans="3:4" x14ac:dyDescent="0.25">
      <c r="C616" s="143"/>
      <c r="D616" s="144"/>
    </row>
    <row r="617" spans="3:4" x14ac:dyDescent="0.25">
      <c r="C617" s="145"/>
      <c r="D617" s="146"/>
    </row>
    <row r="618" spans="3:4" x14ac:dyDescent="0.25">
      <c r="C618" s="143"/>
      <c r="D618" s="144"/>
    </row>
    <row r="619" spans="3:4" x14ac:dyDescent="0.25">
      <c r="C619" s="145"/>
      <c r="D619" s="146"/>
    </row>
    <row r="620" spans="3:4" x14ac:dyDescent="0.25">
      <c r="C620" s="143"/>
      <c r="D620" s="144"/>
    </row>
    <row r="621" spans="3:4" x14ac:dyDescent="0.25">
      <c r="C621" s="145"/>
      <c r="D621" s="146"/>
    </row>
    <row r="622" spans="3:4" x14ac:dyDescent="0.25">
      <c r="C622" s="143"/>
      <c r="D622" s="144"/>
    </row>
    <row r="623" spans="3:4" x14ac:dyDescent="0.25">
      <c r="C623" s="145"/>
      <c r="D623" s="146"/>
    </row>
    <row r="624" spans="3:4" x14ac:dyDescent="0.25">
      <c r="C624" s="143"/>
      <c r="D624" s="144"/>
    </row>
    <row r="625" spans="3:4" x14ac:dyDescent="0.25">
      <c r="C625" s="145"/>
      <c r="D625" s="146"/>
    </row>
    <row r="626" spans="3:4" x14ac:dyDescent="0.25">
      <c r="C626" s="143"/>
      <c r="D626" s="144"/>
    </row>
    <row r="627" spans="3:4" x14ac:dyDescent="0.25">
      <c r="C627" s="145"/>
      <c r="D627" s="146"/>
    </row>
    <row r="628" spans="3:4" x14ac:dyDescent="0.25">
      <c r="C628" s="143"/>
      <c r="D628" s="144"/>
    </row>
    <row r="629" spans="3:4" x14ac:dyDescent="0.25">
      <c r="C629" s="145"/>
      <c r="D629" s="146"/>
    </row>
    <row r="630" spans="3:4" x14ac:dyDescent="0.25">
      <c r="C630" s="143"/>
      <c r="D630" s="144"/>
    </row>
    <row r="631" spans="3:4" x14ac:dyDescent="0.25">
      <c r="C631" s="145"/>
      <c r="D631" s="146"/>
    </row>
    <row r="632" spans="3:4" x14ac:dyDescent="0.25">
      <c r="C632" s="143"/>
      <c r="D632" s="144"/>
    </row>
    <row r="633" spans="3:4" x14ac:dyDescent="0.25">
      <c r="C633" s="145"/>
      <c r="D633" s="146"/>
    </row>
    <row r="634" spans="3:4" x14ac:dyDescent="0.25">
      <c r="C634" s="143"/>
      <c r="D634" s="144"/>
    </row>
    <row r="635" spans="3:4" x14ac:dyDescent="0.25">
      <c r="C635" s="145"/>
      <c r="D635" s="146"/>
    </row>
    <row r="636" spans="3:4" x14ac:dyDescent="0.25">
      <c r="C636" s="143"/>
      <c r="D636" s="144"/>
    </row>
    <row r="637" spans="3:4" x14ac:dyDescent="0.25">
      <c r="C637" s="145"/>
      <c r="D637" s="146"/>
    </row>
    <row r="638" spans="3:4" x14ac:dyDescent="0.25">
      <c r="C638" s="143"/>
      <c r="D638" s="144"/>
    </row>
    <row r="639" spans="3:4" x14ac:dyDescent="0.25">
      <c r="C639" s="145"/>
      <c r="D639" s="146"/>
    </row>
    <row r="640" spans="3:4" x14ac:dyDescent="0.25">
      <c r="C640" s="143"/>
      <c r="D640" s="144"/>
    </row>
    <row r="641" spans="3:4" x14ac:dyDescent="0.25">
      <c r="C641" s="145"/>
      <c r="D641" s="146"/>
    </row>
    <row r="642" spans="3:4" x14ac:dyDescent="0.25">
      <c r="C642" s="143"/>
      <c r="D642" s="144"/>
    </row>
    <row r="643" spans="3:4" x14ac:dyDescent="0.25">
      <c r="C643" s="145"/>
      <c r="D643" s="146"/>
    </row>
    <row r="644" spans="3:4" x14ac:dyDescent="0.25">
      <c r="C644" s="143"/>
      <c r="D644" s="144"/>
    </row>
    <row r="645" spans="3:4" x14ac:dyDescent="0.25">
      <c r="C645" s="145"/>
      <c r="D645" s="146"/>
    </row>
    <row r="646" spans="3:4" x14ac:dyDescent="0.25">
      <c r="C646" s="143"/>
      <c r="D646" s="144"/>
    </row>
    <row r="647" spans="3:4" x14ac:dyDescent="0.25">
      <c r="C647" s="145"/>
      <c r="D647" s="146"/>
    </row>
    <row r="648" spans="3:4" x14ac:dyDescent="0.25">
      <c r="C648" s="143"/>
      <c r="D648" s="144"/>
    </row>
    <row r="649" spans="3:4" x14ac:dyDescent="0.25">
      <c r="C649" s="145"/>
      <c r="D649" s="146"/>
    </row>
    <row r="650" spans="3:4" x14ac:dyDescent="0.25">
      <c r="C650" s="143"/>
      <c r="D650" s="144"/>
    </row>
    <row r="651" spans="3:4" x14ac:dyDescent="0.25">
      <c r="C651" s="145"/>
      <c r="D651" s="146"/>
    </row>
    <row r="652" spans="3:4" x14ac:dyDescent="0.25">
      <c r="C652" s="143"/>
      <c r="D652" s="144"/>
    </row>
    <row r="653" spans="3:4" x14ac:dyDescent="0.25">
      <c r="C653" s="145"/>
      <c r="D653" s="146"/>
    </row>
    <row r="654" spans="3:4" x14ac:dyDescent="0.25">
      <c r="C654" s="143"/>
      <c r="D654" s="144"/>
    </row>
    <row r="655" spans="3:4" x14ac:dyDescent="0.25">
      <c r="C655" s="145"/>
      <c r="D655" s="146"/>
    </row>
    <row r="656" spans="3:4" x14ac:dyDescent="0.25">
      <c r="C656" s="143"/>
      <c r="D656" s="144"/>
    </row>
    <row r="657" spans="3:4" x14ac:dyDescent="0.25">
      <c r="C657" s="145"/>
      <c r="D657" s="146"/>
    </row>
    <row r="658" spans="3:4" x14ac:dyDescent="0.25">
      <c r="C658" s="143"/>
      <c r="D658" s="144"/>
    </row>
    <row r="659" spans="3:4" x14ac:dyDescent="0.25">
      <c r="C659" s="145"/>
      <c r="D659" s="146"/>
    </row>
    <row r="660" spans="3:4" x14ac:dyDescent="0.25">
      <c r="C660" s="143"/>
      <c r="D660" s="144"/>
    </row>
    <row r="661" spans="3:4" x14ac:dyDescent="0.25">
      <c r="C661" s="145"/>
      <c r="D661" s="146"/>
    </row>
    <row r="662" spans="3:4" x14ac:dyDescent="0.25">
      <c r="C662" s="143"/>
      <c r="D662" s="144"/>
    </row>
    <row r="663" spans="3:4" x14ac:dyDescent="0.25">
      <c r="C663" s="145"/>
      <c r="D663" s="146"/>
    </row>
    <row r="664" spans="3:4" x14ac:dyDescent="0.25">
      <c r="C664" s="143"/>
      <c r="D664" s="144"/>
    </row>
    <row r="665" spans="3:4" x14ac:dyDescent="0.25">
      <c r="C665" s="145"/>
      <c r="D665" s="146"/>
    </row>
    <row r="666" spans="3:4" x14ac:dyDescent="0.25">
      <c r="C666" s="143"/>
      <c r="D666" s="144"/>
    </row>
    <row r="667" spans="3:4" x14ac:dyDescent="0.25">
      <c r="C667" s="145"/>
      <c r="D667" s="146"/>
    </row>
    <row r="668" spans="3:4" x14ac:dyDescent="0.25">
      <c r="C668" s="143"/>
      <c r="D668" s="144"/>
    </row>
    <row r="669" spans="3:4" x14ac:dyDescent="0.25">
      <c r="C669" s="145"/>
      <c r="D669" s="146"/>
    </row>
    <row r="670" spans="3:4" x14ac:dyDescent="0.25">
      <c r="C670" s="143"/>
      <c r="D670" s="144"/>
    </row>
    <row r="671" spans="3:4" x14ac:dyDescent="0.25">
      <c r="C671" s="145"/>
      <c r="D671" s="146"/>
    </row>
    <row r="672" spans="3:4" x14ac:dyDescent="0.25">
      <c r="C672" s="143"/>
      <c r="D672" s="144"/>
    </row>
    <row r="673" spans="3:4" x14ac:dyDescent="0.25">
      <c r="C673" s="145"/>
      <c r="D673" s="146"/>
    </row>
    <row r="674" spans="3:4" x14ac:dyDescent="0.25">
      <c r="C674" s="143"/>
      <c r="D674" s="144"/>
    </row>
    <row r="675" spans="3:4" x14ac:dyDescent="0.25">
      <c r="C675" s="145"/>
      <c r="D675" s="146"/>
    </row>
    <row r="676" spans="3:4" x14ac:dyDescent="0.25">
      <c r="C676" s="143"/>
      <c r="D676" s="144"/>
    </row>
    <row r="677" spans="3:4" x14ac:dyDescent="0.25">
      <c r="C677" s="145"/>
      <c r="D677" s="146"/>
    </row>
    <row r="678" spans="3:4" x14ac:dyDescent="0.25">
      <c r="C678" s="143"/>
      <c r="D678" s="144"/>
    </row>
    <row r="679" spans="3:4" x14ac:dyDescent="0.25">
      <c r="C679" s="145"/>
      <c r="D679" s="146"/>
    </row>
    <row r="680" spans="3:4" x14ac:dyDescent="0.25">
      <c r="C680" s="143"/>
      <c r="D680" s="144"/>
    </row>
    <row r="681" spans="3:4" x14ac:dyDescent="0.25">
      <c r="C681" s="145"/>
      <c r="D681" s="146"/>
    </row>
    <row r="682" spans="3:4" x14ac:dyDescent="0.25">
      <c r="C682" s="143"/>
      <c r="D682" s="144"/>
    </row>
    <row r="683" spans="3:4" x14ac:dyDescent="0.25">
      <c r="C683" s="145"/>
      <c r="D683" s="146"/>
    </row>
    <row r="684" spans="3:4" x14ac:dyDescent="0.25">
      <c r="C684" s="143"/>
      <c r="D684" s="144"/>
    </row>
    <row r="685" spans="3:4" x14ac:dyDescent="0.25">
      <c r="C685" s="145"/>
      <c r="D685" s="146"/>
    </row>
    <row r="686" spans="3:4" x14ac:dyDescent="0.25">
      <c r="C686" s="143"/>
      <c r="D686" s="144"/>
    </row>
    <row r="687" spans="3:4" x14ac:dyDescent="0.25">
      <c r="C687" s="145"/>
      <c r="D687" s="146"/>
    </row>
    <row r="688" spans="3:4" x14ac:dyDescent="0.25">
      <c r="C688" s="143"/>
      <c r="D688" s="144"/>
    </row>
    <row r="689" spans="3:4" x14ac:dyDescent="0.25">
      <c r="C689" s="145"/>
      <c r="D689" s="146"/>
    </row>
    <row r="690" spans="3:4" x14ac:dyDescent="0.25">
      <c r="C690" s="143"/>
      <c r="D690" s="144"/>
    </row>
    <row r="691" spans="3:4" x14ac:dyDescent="0.25">
      <c r="C691" s="145"/>
      <c r="D691" s="146"/>
    </row>
    <row r="692" spans="3:4" x14ac:dyDescent="0.25">
      <c r="C692" s="143"/>
      <c r="D692" s="144"/>
    </row>
    <row r="693" spans="3:4" x14ac:dyDescent="0.25">
      <c r="C693" s="145"/>
      <c r="D693" s="146"/>
    </row>
    <row r="694" spans="3:4" x14ac:dyDescent="0.25">
      <c r="C694" s="143"/>
      <c r="D694" s="144"/>
    </row>
    <row r="695" spans="3:4" x14ac:dyDescent="0.25">
      <c r="C695" s="145"/>
      <c r="D695" s="146"/>
    </row>
    <row r="696" spans="3:4" x14ac:dyDescent="0.25">
      <c r="C696" s="143"/>
      <c r="D696" s="144"/>
    </row>
    <row r="697" spans="3:4" x14ac:dyDescent="0.25">
      <c r="C697" s="145"/>
      <c r="D697" s="146"/>
    </row>
    <row r="698" spans="3:4" x14ac:dyDescent="0.25">
      <c r="C698" s="143"/>
      <c r="D698" s="144"/>
    </row>
    <row r="699" spans="3:4" x14ac:dyDescent="0.25">
      <c r="C699" s="145"/>
      <c r="D699" s="146"/>
    </row>
    <row r="700" spans="3:4" x14ac:dyDescent="0.25">
      <c r="C700" s="143"/>
      <c r="D700" s="144"/>
    </row>
    <row r="701" spans="3:4" x14ac:dyDescent="0.25">
      <c r="C701" s="145"/>
      <c r="D701" s="146"/>
    </row>
    <row r="702" spans="3:4" x14ac:dyDescent="0.25">
      <c r="C702" s="143"/>
      <c r="D702" s="144"/>
    </row>
    <row r="703" spans="3:4" x14ac:dyDescent="0.25">
      <c r="C703" s="145"/>
      <c r="D703" s="146"/>
    </row>
    <row r="704" spans="3:4" x14ac:dyDescent="0.25">
      <c r="C704" s="143"/>
      <c r="D704" s="144"/>
    </row>
    <row r="705" spans="3:4" x14ac:dyDescent="0.25">
      <c r="C705" s="145"/>
      <c r="D705" s="146"/>
    </row>
    <row r="706" spans="3:4" x14ac:dyDescent="0.25">
      <c r="C706" s="143"/>
      <c r="D706" s="144"/>
    </row>
    <row r="707" spans="3:4" x14ac:dyDescent="0.25">
      <c r="C707" s="145"/>
      <c r="D707" s="146"/>
    </row>
    <row r="708" spans="3:4" x14ac:dyDescent="0.25">
      <c r="C708" s="143"/>
      <c r="D708" s="144"/>
    </row>
    <row r="709" spans="3:4" x14ac:dyDescent="0.25">
      <c r="C709" s="145"/>
      <c r="D709" s="146"/>
    </row>
    <row r="710" spans="3:4" x14ac:dyDescent="0.25">
      <c r="C710" s="143"/>
      <c r="D710" s="144"/>
    </row>
    <row r="711" spans="3:4" x14ac:dyDescent="0.25">
      <c r="C711" s="145"/>
      <c r="D711" s="146"/>
    </row>
    <row r="712" spans="3:4" x14ac:dyDescent="0.25">
      <c r="C712" s="143"/>
      <c r="D712" s="144"/>
    </row>
    <row r="713" spans="3:4" x14ac:dyDescent="0.25">
      <c r="C713" s="145"/>
      <c r="D713" s="146"/>
    </row>
    <row r="714" spans="3:4" x14ac:dyDescent="0.25">
      <c r="C714" s="143"/>
      <c r="D714" s="144"/>
    </row>
    <row r="715" spans="3:4" x14ac:dyDescent="0.25">
      <c r="C715" s="145"/>
      <c r="D715" s="146"/>
    </row>
    <row r="716" spans="3:4" x14ac:dyDescent="0.25">
      <c r="C716" s="143"/>
      <c r="D716" s="144"/>
    </row>
    <row r="717" spans="3:4" x14ac:dyDescent="0.25">
      <c r="C717" s="145"/>
      <c r="D717" s="146"/>
    </row>
    <row r="718" spans="3:4" x14ac:dyDescent="0.25">
      <c r="C718" s="143"/>
      <c r="D718" s="144"/>
    </row>
    <row r="719" spans="3:4" x14ac:dyDescent="0.25">
      <c r="C719" s="145"/>
      <c r="D719" s="146"/>
    </row>
    <row r="720" spans="3:4" x14ac:dyDescent="0.25">
      <c r="C720" s="143"/>
      <c r="D720" s="144"/>
    </row>
    <row r="721" spans="3:4" x14ac:dyDescent="0.25">
      <c r="C721" s="145"/>
      <c r="D721" s="146"/>
    </row>
    <row r="722" spans="3:4" x14ac:dyDescent="0.25">
      <c r="C722" s="143"/>
      <c r="D722" s="144"/>
    </row>
    <row r="723" spans="3:4" x14ac:dyDescent="0.25">
      <c r="C723" s="145"/>
      <c r="D723" s="146"/>
    </row>
    <row r="724" spans="3:4" x14ac:dyDescent="0.25">
      <c r="C724" s="143"/>
      <c r="D724" s="144"/>
    </row>
    <row r="725" spans="3:4" x14ac:dyDescent="0.25">
      <c r="C725" s="145"/>
      <c r="D725" s="146"/>
    </row>
    <row r="726" spans="3:4" x14ac:dyDescent="0.25">
      <c r="C726" s="143"/>
      <c r="D726" s="144"/>
    </row>
    <row r="727" spans="3:4" x14ac:dyDescent="0.25">
      <c r="C727" s="145"/>
      <c r="D727" s="146"/>
    </row>
    <row r="728" spans="3:4" x14ac:dyDescent="0.25">
      <c r="C728" s="143"/>
      <c r="D728" s="144"/>
    </row>
    <row r="729" spans="3:4" x14ac:dyDescent="0.25">
      <c r="C729" s="145"/>
      <c r="D729" s="146"/>
    </row>
    <row r="730" spans="3:4" x14ac:dyDescent="0.25">
      <c r="C730" s="143"/>
      <c r="D730" s="144"/>
    </row>
    <row r="731" spans="3:4" x14ac:dyDescent="0.25">
      <c r="C731" s="145"/>
      <c r="D731" s="146"/>
    </row>
    <row r="732" spans="3:4" x14ac:dyDescent="0.25">
      <c r="C732" s="143"/>
      <c r="D732" s="144"/>
    </row>
    <row r="733" spans="3:4" x14ac:dyDescent="0.25">
      <c r="C733" s="145"/>
      <c r="D733" s="146"/>
    </row>
    <row r="734" spans="3:4" x14ac:dyDescent="0.25">
      <c r="C734" s="143"/>
      <c r="D734" s="144"/>
    </row>
    <row r="735" spans="3:4" x14ac:dyDescent="0.25">
      <c r="C735" s="145"/>
      <c r="D735" s="146"/>
    </row>
    <row r="736" spans="3:4" x14ac:dyDescent="0.25">
      <c r="C736" s="143"/>
      <c r="D736" s="144"/>
    </row>
    <row r="737" spans="3:4" x14ac:dyDescent="0.25">
      <c r="C737" s="145"/>
      <c r="D737" s="146"/>
    </row>
    <row r="738" spans="3:4" x14ac:dyDescent="0.25">
      <c r="C738" s="143"/>
      <c r="D738" s="144"/>
    </row>
    <row r="739" spans="3:4" x14ac:dyDescent="0.25">
      <c r="C739" s="145"/>
      <c r="D739" s="146"/>
    </row>
    <row r="740" spans="3:4" x14ac:dyDescent="0.25">
      <c r="C740" s="143"/>
      <c r="D740" s="144"/>
    </row>
    <row r="741" spans="3:4" x14ac:dyDescent="0.25">
      <c r="C741" s="145"/>
      <c r="D741" s="146"/>
    </row>
    <row r="742" spans="3:4" x14ac:dyDescent="0.25">
      <c r="C742" s="143"/>
      <c r="D742" s="144"/>
    </row>
    <row r="743" spans="3:4" x14ac:dyDescent="0.25">
      <c r="C743" s="145"/>
      <c r="D743" s="146"/>
    </row>
    <row r="744" spans="3:4" x14ac:dyDescent="0.25">
      <c r="C744" s="143"/>
      <c r="D744" s="144"/>
    </row>
    <row r="745" spans="3:4" x14ac:dyDescent="0.25">
      <c r="C745" s="145"/>
      <c r="D745" s="146"/>
    </row>
    <row r="746" spans="3:4" x14ac:dyDescent="0.25">
      <c r="C746" s="143"/>
      <c r="D746" s="144"/>
    </row>
    <row r="747" spans="3:4" x14ac:dyDescent="0.25">
      <c r="C747" s="145"/>
      <c r="D747" s="146"/>
    </row>
  </sheetData>
  <autoFilter ref="A2:D3" xr:uid="{00000000-0001-0000-0F00-000000000000}"/>
  <mergeCells count="1">
    <mergeCell ref="A1:D1"/>
  </mergeCells>
  <dataValidations count="1">
    <dataValidation type="list" allowBlank="1" showInputMessage="1" showErrorMessage="1" sqref="L2:P2" xr:uid="{C69F18D1-663C-4088-A17B-BEB8F6BA5FA2}">
      <formula1>#REF!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B8362-5007-4543-BD00-7111F32043B8}">
  <sheetPr codeName="List7"/>
  <dimension ref="A1"/>
  <sheetViews>
    <sheetView topLeftCell="A13" zoomScaleNormal="100" workbookViewId="0">
      <selection sqref="A1:A1048576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4AA2B-F808-4DF8-941D-E49AE9C5251F}">
  <dimension ref="A1:AF58"/>
  <sheetViews>
    <sheetView workbookViewId="0">
      <selection activeCell="AC3" sqref="AC3"/>
    </sheetView>
  </sheetViews>
  <sheetFormatPr defaultRowHeight="15" x14ac:dyDescent="0.25"/>
  <cols>
    <col min="1" max="26" width="7.7109375" customWidth="1"/>
  </cols>
  <sheetData>
    <row r="1" spans="1:32" ht="9" customHeight="1" x14ac:dyDescent="0.25"/>
    <row r="2" spans="1:32" x14ac:dyDescent="0.25">
      <c r="A2" t="s">
        <v>128</v>
      </c>
      <c r="B2" t="s">
        <v>129</v>
      </c>
      <c r="C2" t="s">
        <v>130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  <c r="L2" t="s">
        <v>143</v>
      </c>
      <c r="M2" t="s">
        <v>144</v>
      </c>
      <c r="N2" t="s">
        <v>145</v>
      </c>
      <c r="O2" t="s">
        <v>146</v>
      </c>
      <c r="P2" t="s">
        <v>147</v>
      </c>
      <c r="Q2" t="s">
        <v>148</v>
      </c>
      <c r="R2" t="s">
        <v>149</v>
      </c>
      <c r="S2" t="s">
        <v>150</v>
      </c>
      <c r="T2" t="s">
        <v>151</v>
      </c>
      <c r="U2" t="s">
        <v>152</v>
      </c>
      <c r="V2" t="s">
        <v>153</v>
      </c>
      <c r="W2" t="s">
        <v>154</v>
      </c>
      <c r="X2" t="s">
        <v>155</v>
      </c>
      <c r="Y2" t="s">
        <v>156</v>
      </c>
      <c r="Z2" t="s">
        <v>157</v>
      </c>
      <c r="AB2" t="s">
        <v>131</v>
      </c>
      <c r="AC2" t="s">
        <v>132</v>
      </c>
      <c r="AD2" t="s">
        <v>133</v>
      </c>
      <c r="AF2" t="s">
        <v>134</v>
      </c>
    </row>
    <row r="3" spans="1:32" ht="15.75" thickBot="1" x14ac:dyDescent="0.3">
      <c r="A3" s="147" t="str">
        <f>KÚ_1!$J$16</f>
        <v>2</v>
      </c>
      <c r="B3" s="147" t="str">
        <f>KÚ_2!$J$16</f>
        <v>2</v>
      </c>
      <c r="C3" s="147" t="str">
        <f>KÚ_3!$J$16</f>
        <v>2</v>
      </c>
      <c r="D3" s="147" t="str">
        <f>KÚ_4!$J$16</f>
        <v>2</v>
      </c>
      <c r="E3" s="147" t="str">
        <f>KÚ_5!$J$16</f>
        <v>2</v>
      </c>
      <c r="F3" s="147" t="str">
        <f>KÚ_6!$J$16</f>
        <v>2</v>
      </c>
      <c r="G3" s="147" t="e">
        <f>#REF!</f>
        <v>#REF!</v>
      </c>
      <c r="H3" s="147" t="e">
        <f>#REF!</f>
        <v>#REF!</v>
      </c>
      <c r="I3" s="147" t="e">
        <f>#REF!</f>
        <v>#REF!</v>
      </c>
      <c r="J3" s="147" t="e">
        <f>#REF!</f>
        <v>#REF!</v>
      </c>
      <c r="K3" s="147" t="e">
        <f>#REF!</f>
        <v>#REF!</v>
      </c>
      <c r="L3" s="147" t="e">
        <f>#REF!</f>
        <v>#REF!</v>
      </c>
      <c r="M3" s="147" t="e">
        <f>#REF!</f>
        <v>#REF!</v>
      </c>
      <c r="N3" s="147" t="e">
        <f>#REF!</f>
        <v>#REF!</v>
      </c>
      <c r="O3" s="147" t="e">
        <f>#REF!</f>
        <v>#REF!</v>
      </c>
      <c r="P3" s="147" t="e">
        <f>#REF!</f>
        <v>#REF!</v>
      </c>
      <c r="Q3" s="147" t="e">
        <f>#REF!</f>
        <v>#REF!</v>
      </c>
      <c r="R3" s="147" t="e">
        <f>#REF!</f>
        <v>#REF!</v>
      </c>
      <c r="S3" s="147" t="e">
        <f>#REF!</f>
        <v>#REF!</v>
      </c>
      <c r="T3" s="147" t="e">
        <f>#REF!</f>
        <v>#REF!</v>
      </c>
      <c r="U3" s="147" t="e">
        <f>#REF!</f>
        <v>#REF!</v>
      </c>
      <c r="V3" s="147" t="e">
        <f>#REF!</f>
        <v>#REF!</v>
      </c>
      <c r="W3" s="147" t="e">
        <f>#REF!</f>
        <v>#REF!</v>
      </c>
      <c r="X3" s="147" t="e">
        <f>#REF!</f>
        <v>#REF!</v>
      </c>
      <c r="Y3" s="147" t="e">
        <f>#REF!</f>
        <v>#REF!</v>
      </c>
      <c r="Z3" s="147" t="e">
        <f>#REF!</f>
        <v>#REF!</v>
      </c>
      <c r="AA3" t="s">
        <v>176</v>
      </c>
      <c r="AB3">
        <f>COUNT(A3:Z3)</f>
        <v>0</v>
      </c>
      <c r="AC3" s="147" t="e">
        <f>MIN(A3:Z3)</f>
        <v>#REF!</v>
      </c>
      <c r="AD3" s="147" t="e">
        <f>MAX(A3:Z3)</f>
        <v>#REF!</v>
      </c>
      <c r="AF3" s="147" t="e">
        <f>IF(AC3=AD3,"ANO","NE")</f>
        <v>#REF!</v>
      </c>
    </row>
    <row r="4" spans="1:32" ht="15.75" thickBot="1" x14ac:dyDescent="0.3">
      <c r="A4" t="str">
        <f>IFERROR(A3,"")</f>
        <v>2</v>
      </c>
      <c r="B4" t="str">
        <f>IFERROR(B3,"")</f>
        <v>2</v>
      </c>
      <c r="C4" t="str">
        <f>IFERROR(C3,"")</f>
        <v>2</v>
      </c>
      <c r="D4" t="str">
        <f t="shared" ref="D4:M4" si="0">IFERROR(D3,"")</f>
        <v>2</v>
      </c>
      <c r="E4" t="str">
        <f t="shared" si="0"/>
        <v>2</v>
      </c>
      <c r="F4" t="str">
        <f t="shared" si="0"/>
        <v>2</v>
      </c>
      <c r="G4" t="str">
        <f t="shared" si="0"/>
        <v/>
      </c>
      <c r="H4" t="str">
        <f t="shared" si="0"/>
        <v/>
      </c>
      <c r="I4" t="str">
        <f t="shared" si="0"/>
        <v/>
      </c>
      <c r="J4" t="str">
        <f t="shared" si="0"/>
        <v/>
      </c>
      <c r="K4" t="str">
        <f t="shared" si="0"/>
        <v/>
      </c>
      <c r="L4" t="str">
        <f t="shared" si="0"/>
        <v/>
      </c>
      <c r="M4" t="str">
        <f t="shared" si="0"/>
        <v/>
      </c>
      <c r="N4" t="str">
        <f t="shared" ref="N4:Z4" si="1">IFERROR(N3,"")</f>
        <v/>
      </c>
      <c r="O4" t="str">
        <f t="shared" si="1"/>
        <v/>
      </c>
      <c r="P4" t="str">
        <f t="shared" si="1"/>
        <v/>
      </c>
      <c r="Q4" t="str">
        <f t="shared" si="1"/>
        <v/>
      </c>
      <c r="R4" t="str">
        <f t="shared" si="1"/>
        <v/>
      </c>
      <c r="S4" t="str">
        <f t="shared" si="1"/>
        <v/>
      </c>
      <c r="T4" t="str">
        <f t="shared" si="1"/>
        <v/>
      </c>
      <c r="U4" t="str">
        <f t="shared" si="1"/>
        <v/>
      </c>
      <c r="V4" t="str">
        <f t="shared" si="1"/>
        <v/>
      </c>
      <c r="W4" t="str">
        <f t="shared" si="1"/>
        <v/>
      </c>
      <c r="X4" t="str">
        <f t="shared" si="1"/>
        <v/>
      </c>
      <c r="Y4" t="str">
        <f t="shared" si="1"/>
        <v/>
      </c>
      <c r="Z4" t="str">
        <f t="shared" si="1"/>
        <v/>
      </c>
      <c r="AC4" s="147">
        <f>MIN(A4:Z4)</f>
        <v>0</v>
      </c>
      <c r="AD4" s="147">
        <f>MAX(A4:Z4)</f>
        <v>0</v>
      </c>
      <c r="AF4" s="148" t="str">
        <f>IF(AC4=AD4,"ANO","NE")</f>
        <v>ANO</v>
      </c>
    </row>
    <row r="5" spans="1:32" ht="5.25" customHeight="1" x14ac:dyDescent="0.25"/>
    <row r="6" spans="1:32" ht="15.75" thickBot="1" x14ac:dyDescent="0.3">
      <c r="A6" s="147">
        <f>KÚ_1!$L$17</f>
        <v>0</v>
      </c>
      <c r="B6" s="147">
        <f>KÚ_2!$L$17</f>
        <v>0</v>
      </c>
      <c r="C6" s="147">
        <f>KÚ_3!$L$17</f>
        <v>0</v>
      </c>
      <c r="D6" s="147">
        <f>KÚ_4!$L$17</f>
        <v>0</v>
      </c>
      <c r="E6" s="147">
        <f>KÚ_5!$L$17</f>
        <v>0</v>
      </c>
      <c r="F6" s="147">
        <f>KÚ_6!$L$17</f>
        <v>0</v>
      </c>
      <c r="G6" s="147" t="e">
        <f>#REF!</f>
        <v>#REF!</v>
      </c>
      <c r="H6" s="147" t="e">
        <f>#REF!</f>
        <v>#REF!</v>
      </c>
      <c r="I6" s="147" t="e">
        <f>#REF!</f>
        <v>#REF!</v>
      </c>
      <c r="J6" s="147" t="e">
        <f>#REF!</f>
        <v>#REF!</v>
      </c>
      <c r="K6" s="147" t="e">
        <f>#REF!</f>
        <v>#REF!</v>
      </c>
      <c r="L6" s="147" t="e">
        <f>#REF!</f>
        <v>#REF!</v>
      </c>
      <c r="M6" s="147" t="e">
        <f>#REF!</f>
        <v>#REF!</v>
      </c>
      <c r="N6" s="147" t="e">
        <f>#REF!</f>
        <v>#REF!</v>
      </c>
      <c r="O6" s="147" t="e">
        <f>#REF!</f>
        <v>#REF!</v>
      </c>
      <c r="P6" s="147" t="e">
        <f>#REF!</f>
        <v>#REF!</v>
      </c>
      <c r="Q6" s="147" t="e">
        <f>#REF!</f>
        <v>#REF!</v>
      </c>
      <c r="R6" s="147" t="e">
        <f>#REF!</f>
        <v>#REF!</v>
      </c>
      <c r="S6" s="147" t="e">
        <f>#REF!</f>
        <v>#REF!</v>
      </c>
      <c r="T6" s="147" t="e">
        <f>#REF!</f>
        <v>#REF!</v>
      </c>
      <c r="U6" s="147" t="e">
        <f>#REF!</f>
        <v>#REF!</v>
      </c>
      <c r="V6" s="147" t="e">
        <f>#REF!</f>
        <v>#REF!</v>
      </c>
      <c r="W6" s="147" t="e">
        <f>#REF!</f>
        <v>#REF!</v>
      </c>
      <c r="X6" s="147" t="e">
        <f>#REF!</f>
        <v>#REF!</v>
      </c>
      <c r="Y6" s="147" t="e">
        <f>#REF!</f>
        <v>#REF!</v>
      </c>
      <c r="Z6" s="147" t="e">
        <f>#REF!</f>
        <v>#REF!</v>
      </c>
      <c r="AA6" t="s">
        <v>158</v>
      </c>
      <c r="AB6">
        <f>COUNT(A6:Z6)</f>
        <v>6</v>
      </c>
      <c r="AC6" s="147" t="e">
        <f>MIN(A6:Z6)</f>
        <v>#REF!</v>
      </c>
      <c r="AD6" s="147" t="e">
        <f>MAX(A6:Z6)</f>
        <v>#REF!</v>
      </c>
      <c r="AF6" s="147" t="e">
        <f>IF(AC6=AD6,"ANO","NE")</f>
        <v>#REF!</v>
      </c>
    </row>
    <row r="7" spans="1:32" ht="15.75" thickBot="1" x14ac:dyDescent="0.3">
      <c r="A7">
        <f>IFERROR(A6,"")</f>
        <v>0</v>
      </c>
      <c r="B7">
        <f t="shared" ref="B7:M7" si="2">IFERROR(B6,"")</f>
        <v>0</v>
      </c>
      <c r="C7">
        <f t="shared" si="2"/>
        <v>0</v>
      </c>
      <c r="D7">
        <f t="shared" si="2"/>
        <v>0</v>
      </c>
      <c r="E7">
        <f t="shared" si="2"/>
        <v>0</v>
      </c>
      <c r="F7">
        <f t="shared" si="2"/>
        <v>0</v>
      </c>
      <c r="G7" t="str">
        <f t="shared" si="2"/>
        <v/>
      </c>
      <c r="H7" t="str">
        <f t="shared" si="2"/>
        <v/>
      </c>
      <c r="I7" t="str">
        <f t="shared" si="2"/>
        <v/>
      </c>
      <c r="J7" t="str">
        <f t="shared" si="2"/>
        <v/>
      </c>
      <c r="K7" t="str">
        <f t="shared" si="2"/>
        <v/>
      </c>
      <c r="L7" t="str">
        <f t="shared" si="2"/>
        <v/>
      </c>
      <c r="M7" t="str">
        <f t="shared" si="2"/>
        <v/>
      </c>
      <c r="N7" t="str">
        <f t="shared" ref="N7:Z7" si="3">IFERROR(N6,"")</f>
        <v/>
      </c>
      <c r="O7" t="str">
        <f t="shared" si="3"/>
        <v/>
      </c>
      <c r="P7" t="str">
        <f t="shared" si="3"/>
        <v/>
      </c>
      <c r="Q7" t="str">
        <f t="shared" si="3"/>
        <v/>
      </c>
      <c r="R7" t="str">
        <f t="shared" si="3"/>
        <v/>
      </c>
      <c r="S7" t="str">
        <f t="shared" si="3"/>
        <v/>
      </c>
      <c r="T7" t="str">
        <f t="shared" si="3"/>
        <v/>
      </c>
      <c r="U7" t="str">
        <f t="shared" si="3"/>
        <v/>
      </c>
      <c r="V7" t="str">
        <f t="shared" si="3"/>
        <v/>
      </c>
      <c r="W7" t="str">
        <f t="shared" si="3"/>
        <v/>
      </c>
      <c r="X7" t="str">
        <f t="shared" si="3"/>
        <v/>
      </c>
      <c r="Y7" t="str">
        <f t="shared" si="3"/>
        <v/>
      </c>
      <c r="Z7" t="str">
        <f t="shared" si="3"/>
        <v/>
      </c>
      <c r="AC7" s="147">
        <f>MIN(A7:Z7)</f>
        <v>0</v>
      </c>
      <c r="AD7" s="147">
        <f>MAX(A7:Z7)</f>
        <v>0</v>
      </c>
      <c r="AF7" s="148" t="str">
        <f>IF(AC7=AD7,"ANO","NE")</f>
        <v>ANO</v>
      </c>
    </row>
    <row r="8" spans="1:32" ht="5.25" customHeight="1" x14ac:dyDescent="0.25"/>
    <row r="9" spans="1:32" ht="15.75" thickBot="1" x14ac:dyDescent="0.3">
      <c r="A9" s="147">
        <f>KÚ_1!$L$18</f>
        <v>0</v>
      </c>
      <c r="B9" s="147">
        <f>KÚ_2!$L$18</f>
        <v>0</v>
      </c>
      <c r="C9" s="147">
        <f>KÚ_3!$L$18</f>
        <v>0</v>
      </c>
      <c r="D9" s="147">
        <f>KÚ_4!$L$18</f>
        <v>0</v>
      </c>
      <c r="E9" s="147">
        <f>KÚ_5!$L$18</f>
        <v>0</v>
      </c>
      <c r="F9" s="147">
        <f>KÚ_6!$L$18</f>
        <v>0</v>
      </c>
      <c r="G9" s="147" t="e">
        <f>#REF!</f>
        <v>#REF!</v>
      </c>
      <c r="H9" s="147" t="e">
        <f>#REF!</f>
        <v>#REF!</v>
      </c>
      <c r="I9" s="147" t="e">
        <f>#REF!</f>
        <v>#REF!</v>
      </c>
      <c r="J9" s="147" t="e">
        <f>#REF!</f>
        <v>#REF!</v>
      </c>
      <c r="K9" s="147" t="e">
        <f>#REF!</f>
        <v>#REF!</v>
      </c>
      <c r="L9" s="147" t="e">
        <f>#REF!</f>
        <v>#REF!</v>
      </c>
      <c r="M9" s="147" t="e">
        <f>#REF!</f>
        <v>#REF!</v>
      </c>
      <c r="N9" s="147" t="e">
        <f>#REF!</f>
        <v>#REF!</v>
      </c>
      <c r="O9" s="147" t="e">
        <f>#REF!</f>
        <v>#REF!</v>
      </c>
      <c r="P9" s="147" t="e">
        <f>#REF!</f>
        <v>#REF!</v>
      </c>
      <c r="Q9" s="147" t="e">
        <f>#REF!</f>
        <v>#REF!</v>
      </c>
      <c r="R9" s="147" t="e">
        <f>#REF!</f>
        <v>#REF!</v>
      </c>
      <c r="S9" s="147" t="e">
        <f>#REF!</f>
        <v>#REF!</v>
      </c>
      <c r="T9" s="147" t="e">
        <f>#REF!</f>
        <v>#REF!</v>
      </c>
      <c r="U9" s="147" t="e">
        <f>#REF!</f>
        <v>#REF!</v>
      </c>
      <c r="V9" s="147" t="e">
        <f>#REF!</f>
        <v>#REF!</v>
      </c>
      <c r="W9" s="147" t="e">
        <f>#REF!</f>
        <v>#REF!</v>
      </c>
      <c r="X9" s="147" t="e">
        <f>#REF!</f>
        <v>#REF!</v>
      </c>
      <c r="Y9" s="147" t="e">
        <f>#REF!</f>
        <v>#REF!</v>
      </c>
      <c r="Z9" s="147" t="e">
        <f>#REF!</f>
        <v>#REF!</v>
      </c>
      <c r="AA9" t="s">
        <v>159</v>
      </c>
      <c r="AB9">
        <f>COUNT(A9:Z9)</f>
        <v>6</v>
      </c>
      <c r="AC9" s="147" t="e">
        <f>MIN(A9:Z9)</f>
        <v>#REF!</v>
      </c>
      <c r="AD9" s="147" t="e">
        <f>MAX(A9:Z9)</f>
        <v>#REF!</v>
      </c>
      <c r="AF9" s="147" t="e">
        <f>IF(AC9=AD9,"ANO","NE")</f>
        <v>#REF!</v>
      </c>
    </row>
    <row r="10" spans="1:32" ht="15.75" thickBot="1" x14ac:dyDescent="0.3">
      <c r="A10">
        <f>IFERROR(A9,"")</f>
        <v>0</v>
      </c>
      <c r="B10">
        <f t="shared" ref="B10" si="4">IFERROR(B9,"")</f>
        <v>0</v>
      </c>
      <c r="C10">
        <f t="shared" ref="C10" si="5">IFERROR(C9,"")</f>
        <v>0</v>
      </c>
      <c r="D10">
        <f t="shared" ref="D10" si="6">IFERROR(D9,"")</f>
        <v>0</v>
      </c>
      <c r="E10">
        <f t="shared" ref="E10" si="7">IFERROR(E9,"")</f>
        <v>0</v>
      </c>
      <c r="F10">
        <f t="shared" ref="F10" si="8">IFERROR(F9,"")</f>
        <v>0</v>
      </c>
      <c r="G10" t="str">
        <f t="shared" ref="G10" si="9">IFERROR(G9,"")</f>
        <v/>
      </c>
      <c r="H10" t="str">
        <f t="shared" ref="H10" si="10">IFERROR(H9,"")</f>
        <v/>
      </c>
      <c r="I10" t="str">
        <f t="shared" ref="I10" si="11">IFERROR(I9,"")</f>
        <v/>
      </c>
      <c r="J10" t="str">
        <f t="shared" ref="J10" si="12">IFERROR(J9,"")</f>
        <v/>
      </c>
      <c r="K10" t="str">
        <f t="shared" ref="K10" si="13">IFERROR(K9,"")</f>
        <v/>
      </c>
      <c r="L10" t="str">
        <f t="shared" ref="L10" si="14">IFERROR(L9,"")</f>
        <v/>
      </c>
      <c r="M10" t="str">
        <f t="shared" ref="M10:Z10" si="15">IFERROR(M9,"")</f>
        <v/>
      </c>
      <c r="N10" t="str">
        <f t="shared" si="15"/>
        <v/>
      </c>
      <c r="O10" t="str">
        <f t="shared" si="15"/>
        <v/>
      </c>
      <c r="P10" t="str">
        <f t="shared" si="15"/>
        <v/>
      </c>
      <c r="Q10" t="str">
        <f t="shared" si="15"/>
        <v/>
      </c>
      <c r="R10" t="str">
        <f t="shared" si="15"/>
        <v/>
      </c>
      <c r="S10" t="str">
        <f t="shared" si="15"/>
        <v/>
      </c>
      <c r="T10" t="str">
        <f t="shared" si="15"/>
        <v/>
      </c>
      <c r="U10" t="str">
        <f t="shared" si="15"/>
        <v/>
      </c>
      <c r="V10" t="str">
        <f t="shared" si="15"/>
        <v/>
      </c>
      <c r="W10" t="str">
        <f t="shared" si="15"/>
        <v/>
      </c>
      <c r="X10" t="str">
        <f t="shared" si="15"/>
        <v/>
      </c>
      <c r="Y10" t="str">
        <f t="shared" si="15"/>
        <v/>
      </c>
      <c r="Z10" t="str">
        <f t="shared" si="15"/>
        <v/>
      </c>
      <c r="AC10" s="147">
        <f>MIN(A10:Z10)</f>
        <v>0</v>
      </c>
      <c r="AD10" s="147">
        <f>MAX(A10:Z10)</f>
        <v>0</v>
      </c>
      <c r="AF10" s="148" t="str">
        <f>IF(AC10=AD10,"ANO","NE")</f>
        <v>ANO</v>
      </c>
    </row>
    <row r="11" spans="1:32" ht="5.25" customHeight="1" x14ac:dyDescent="0.25"/>
    <row r="12" spans="1:32" ht="15.75" thickBot="1" x14ac:dyDescent="0.3">
      <c r="A12" s="147">
        <f>KÚ_1!$L$19</f>
        <v>0</v>
      </c>
      <c r="B12" s="147">
        <f>KÚ_2!$L$19</f>
        <v>0</v>
      </c>
      <c r="C12" s="147">
        <f>KÚ_3!$L$19</f>
        <v>0</v>
      </c>
      <c r="D12" s="147">
        <f>KÚ_4!$L$19</f>
        <v>0</v>
      </c>
      <c r="E12" s="147">
        <f>KÚ_5!$L$19</f>
        <v>0</v>
      </c>
      <c r="F12" s="147">
        <f>KÚ_6!$L$19</f>
        <v>0</v>
      </c>
      <c r="G12" s="147" t="e">
        <f>#REF!</f>
        <v>#REF!</v>
      </c>
      <c r="H12" s="147" t="e">
        <f>#REF!</f>
        <v>#REF!</v>
      </c>
      <c r="I12" s="147" t="e">
        <f>#REF!</f>
        <v>#REF!</v>
      </c>
      <c r="J12" s="147" t="e">
        <f>#REF!</f>
        <v>#REF!</v>
      </c>
      <c r="K12" s="147" t="e">
        <f>#REF!</f>
        <v>#REF!</v>
      </c>
      <c r="L12" s="147" t="e">
        <f>#REF!</f>
        <v>#REF!</v>
      </c>
      <c r="M12" s="147" t="e">
        <f>#REF!</f>
        <v>#REF!</v>
      </c>
      <c r="N12" s="147" t="e">
        <f>#REF!</f>
        <v>#REF!</v>
      </c>
      <c r="O12" s="147" t="e">
        <f>#REF!</f>
        <v>#REF!</v>
      </c>
      <c r="P12" s="147" t="e">
        <f>#REF!</f>
        <v>#REF!</v>
      </c>
      <c r="Q12" s="147" t="e">
        <f>#REF!</f>
        <v>#REF!</v>
      </c>
      <c r="R12" s="147" t="e">
        <f>#REF!</f>
        <v>#REF!</v>
      </c>
      <c r="S12" s="147" t="e">
        <f>#REF!</f>
        <v>#REF!</v>
      </c>
      <c r="T12" s="147" t="e">
        <f>#REF!</f>
        <v>#REF!</v>
      </c>
      <c r="U12" s="147" t="e">
        <f>#REF!</f>
        <v>#REF!</v>
      </c>
      <c r="V12" s="147" t="e">
        <f>#REF!</f>
        <v>#REF!</v>
      </c>
      <c r="W12" s="147" t="e">
        <f>#REF!</f>
        <v>#REF!</v>
      </c>
      <c r="X12" s="147" t="e">
        <f>#REF!</f>
        <v>#REF!</v>
      </c>
      <c r="Y12" s="147" t="e">
        <f>#REF!</f>
        <v>#REF!</v>
      </c>
      <c r="Z12" s="147" t="e">
        <f>#REF!</f>
        <v>#REF!</v>
      </c>
      <c r="AA12" t="s">
        <v>160</v>
      </c>
      <c r="AB12">
        <f>COUNT(A12:Z12)</f>
        <v>6</v>
      </c>
      <c r="AC12" s="147" t="e">
        <f>MIN(A12:Z12)</f>
        <v>#REF!</v>
      </c>
      <c r="AD12" s="147" t="e">
        <f>MAX(A12:Z12)</f>
        <v>#REF!</v>
      </c>
      <c r="AF12" s="147" t="e">
        <f>IF(AC12=AD12,"ANO","NE")</f>
        <v>#REF!</v>
      </c>
    </row>
    <row r="13" spans="1:32" ht="15.75" thickBot="1" x14ac:dyDescent="0.3">
      <c r="A13">
        <f>IFERROR(A12,"")</f>
        <v>0</v>
      </c>
      <c r="B13">
        <f t="shared" ref="B13" si="16">IFERROR(B12,"")</f>
        <v>0</v>
      </c>
      <c r="C13">
        <f t="shared" ref="C13" si="17">IFERROR(C12,"")</f>
        <v>0</v>
      </c>
      <c r="D13">
        <f t="shared" ref="D13" si="18">IFERROR(D12,"")</f>
        <v>0</v>
      </c>
      <c r="E13">
        <f t="shared" ref="E13" si="19">IFERROR(E12,"")</f>
        <v>0</v>
      </c>
      <c r="F13">
        <f t="shared" ref="F13" si="20">IFERROR(F12,"")</f>
        <v>0</v>
      </c>
      <c r="G13" t="str">
        <f t="shared" ref="G13" si="21">IFERROR(G12,"")</f>
        <v/>
      </c>
      <c r="H13" t="str">
        <f t="shared" ref="H13" si="22">IFERROR(H12,"")</f>
        <v/>
      </c>
      <c r="I13" t="str">
        <f t="shared" ref="I13" si="23">IFERROR(I12,"")</f>
        <v/>
      </c>
      <c r="J13" t="str">
        <f t="shared" ref="J13" si="24">IFERROR(J12,"")</f>
        <v/>
      </c>
      <c r="K13" t="str">
        <f t="shared" ref="K13" si="25">IFERROR(K12,"")</f>
        <v/>
      </c>
      <c r="L13" t="str">
        <f t="shared" ref="L13" si="26">IFERROR(L12,"")</f>
        <v/>
      </c>
      <c r="M13" t="str">
        <f t="shared" ref="M13:Z13" si="27">IFERROR(M12,"")</f>
        <v/>
      </c>
      <c r="N13" t="str">
        <f t="shared" si="27"/>
        <v/>
      </c>
      <c r="O13" t="str">
        <f t="shared" si="27"/>
        <v/>
      </c>
      <c r="P13" t="str">
        <f t="shared" si="27"/>
        <v/>
      </c>
      <c r="Q13" t="str">
        <f t="shared" si="27"/>
        <v/>
      </c>
      <c r="R13" t="str">
        <f t="shared" si="27"/>
        <v/>
      </c>
      <c r="S13" t="str">
        <f t="shared" si="27"/>
        <v/>
      </c>
      <c r="T13" t="str">
        <f t="shared" si="27"/>
        <v/>
      </c>
      <c r="U13" t="str">
        <f t="shared" si="27"/>
        <v/>
      </c>
      <c r="V13" t="str">
        <f t="shared" si="27"/>
        <v/>
      </c>
      <c r="W13" t="str">
        <f t="shared" si="27"/>
        <v/>
      </c>
      <c r="X13" t="str">
        <f t="shared" si="27"/>
        <v/>
      </c>
      <c r="Y13" t="str">
        <f t="shared" si="27"/>
        <v/>
      </c>
      <c r="Z13" t="str">
        <f t="shared" si="27"/>
        <v/>
      </c>
      <c r="AC13" s="147">
        <f>MIN(A13:Z13)</f>
        <v>0</v>
      </c>
      <c r="AD13" s="147">
        <f>MAX(A13:Z13)</f>
        <v>0</v>
      </c>
      <c r="AF13" s="148" t="str">
        <f>IF(AC13=AD13,"ANO","NE")</f>
        <v>ANO</v>
      </c>
    </row>
    <row r="14" spans="1:32" ht="5.25" customHeight="1" x14ac:dyDescent="0.25"/>
    <row r="15" spans="1:32" ht="15.75" thickBot="1" x14ac:dyDescent="0.3">
      <c r="A15" s="147">
        <f>KÚ_1!$L$20</f>
        <v>0</v>
      </c>
      <c r="B15" s="147">
        <f>KÚ_2!$L$20</f>
        <v>0</v>
      </c>
      <c r="C15" s="147">
        <f>KÚ_3!$L$20</f>
        <v>0</v>
      </c>
      <c r="D15" s="147">
        <f>KÚ_4!$L$20</f>
        <v>0</v>
      </c>
      <c r="E15" s="147">
        <f>KÚ_5!$L$20</f>
        <v>0</v>
      </c>
      <c r="F15" s="147">
        <f>KÚ_6!$L$20</f>
        <v>0</v>
      </c>
      <c r="G15" s="147" t="e">
        <f>#REF!</f>
        <v>#REF!</v>
      </c>
      <c r="H15" s="147" t="e">
        <f>#REF!</f>
        <v>#REF!</v>
      </c>
      <c r="I15" s="147" t="e">
        <f>#REF!</f>
        <v>#REF!</v>
      </c>
      <c r="J15" s="147" t="e">
        <f>#REF!</f>
        <v>#REF!</v>
      </c>
      <c r="K15" s="147" t="e">
        <f>#REF!</f>
        <v>#REF!</v>
      </c>
      <c r="L15" s="147" t="e">
        <f>#REF!</f>
        <v>#REF!</v>
      </c>
      <c r="M15" s="147" t="e">
        <f>#REF!</f>
        <v>#REF!</v>
      </c>
      <c r="N15" s="147" t="e">
        <f>#REF!</f>
        <v>#REF!</v>
      </c>
      <c r="O15" s="147" t="e">
        <f>#REF!</f>
        <v>#REF!</v>
      </c>
      <c r="P15" s="147" t="e">
        <f>#REF!</f>
        <v>#REF!</v>
      </c>
      <c r="Q15" s="147" t="e">
        <f>#REF!</f>
        <v>#REF!</v>
      </c>
      <c r="R15" s="147" t="e">
        <f>#REF!</f>
        <v>#REF!</v>
      </c>
      <c r="S15" s="147" t="e">
        <f>#REF!</f>
        <v>#REF!</v>
      </c>
      <c r="T15" s="147" t="e">
        <f>#REF!</f>
        <v>#REF!</v>
      </c>
      <c r="U15" s="147" t="e">
        <f>#REF!</f>
        <v>#REF!</v>
      </c>
      <c r="V15" s="147" t="e">
        <f>#REF!</f>
        <v>#REF!</v>
      </c>
      <c r="W15" s="147" t="e">
        <f>#REF!</f>
        <v>#REF!</v>
      </c>
      <c r="X15" s="147" t="e">
        <f>#REF!</f>
        <v>#REF!</v>
      </c>
      <c r="Y15" s="147" t="e">
        <f>#REF!</f>
        <v>#REF!</v>
      </c>
      <c r="Z15" s="147" t="e">
        <f>#REF!</f>
        <v>#REF!</v>
      </c>
      <c r="AA15" t="s">
        <v>161</v>
      </c>
      <c r="AB15">
        <f>COUNT(A15:Z15)</f>
        <v>6</v>
      </c>
      <c r="AC15" s="147" t="e">
        <f>MIN(A15:Z15)</f>
        <v>#REF!</v>
      </c>
      <c r="AD15" s="147" t="e">
        <f>MAX(A15:Z15)</f>
        <v>#REF!</v>
      </c>
      <c r="AF15" s="147" t="e">
        <f>IF(AC15=AD15,"ANO","NE")</f>
        <v>#REF!</v>
      </c>
    </row>
    <row r="16" spans="1:32" ht="15.75" thickBot="1" x14ac:dyDescent="0.3">
      <c r="A16">
        <f>IFERROR(A15,"")</f>
        <v>0</v>
      </c>
      <c r="B16">
        <f t="shared" ref="B16" si="28">IFERROR(B15,"")</f>
        <v>0</v>
      </c>
      <c r="C16">
        <f t="shared" ref="C16" si="29">IFERROR(C15,"")</f>
        <v>0</v>
      </c>
      <c r="D16">
        <f t="shared" ref="D16" si="30">IFERROR(D15,"")</f>
        <v>0</v>
      </c>
      <c r="E16">
        <f t="shared" ref="E16" si="31">IFERROR(E15,"")</f>
        <v>0</v>
      </c>
      <c r="F16">
        <f t="shared" ref="F16" si="32">IFERROR(F15,"")</f>
        <v>0</v>
      </c>
      <c r="G16" t="str">
        <f t="shared" ref="G16" si="33">IFERROR(G15,"")</f>
        <v/>
      </c>
      <c r="H16" t="str">
        <f t="shared" ref="H16" si="34">IFERROR(H15,"")</f>
        <v/>
      </c>
      <c r="I16" t="str">
        <f t="shared" ref="I16" si="35">IFERROR(I15,"")</f>
        <v/>
      </c>
      <c r="J16" t="str">
        <f t="shared" ref="J16" si="36">IFERROR(J15,"")</f>
        <v/>
      </c>
      <c r="K16" t="str">
        <f t="shared" ref="K16" si="37">IFERROR(K15,"")</f>
        <v/>
      </c>
      <c r="L16" t="str">
        <f t="shared" ref="L16" si="38">IFERROR(L15,"")</f>
        <v/>
      </c>
      <c r="M16" t="str">
        <f t="shared" ref="M16:Z16" si="39">IFERROR(M15,"")</f>
        <v/>
      </c>
      <c r="N16" t="str">
        <f t="shared" si="39"/>
        <v/>
      </c>
      <c r="O16" t="str">
        <f t="shared" si="39"/>
        <v/>
      </c>
      <c r="P16" t="str">
        <f t="shared" si="39"/>
        <v/>
      </c>
      <c r="Q16" t="str">
        <f t="shared" si="39"/>
        <v/>
      </c>
      <c r="R16" t="str">
        <f t="shared" si="39"/>
        <v/>
      </c>
      <c r="S16" t="str">
        <f t="shared" si="39"/>
        <v/>
      </c>
      <c r="T16" t="str">
        <f t="shared" si="39"/>
        <v/>
      </c>
      <c r="U16" t="str">
        <f t="shared" si="39"/>
        <v/>
      </c>
      <c r="V16" t="str">
        <f t="shared" si="39"/>
        <v/>
      </c>
      <c r="W16" t="str">
        <f t="shared" si="39"/>
        <v/>
      </c>
      <c r="X16" t="str">
        <f t="shared" si="39"/>
        <v/>
      </c>
      <c r="Y16" t="str">
        <f t="shared" si="39"/>
        <v/>
      </c>
      <c r="Z16" t="str">
        <f t="shared" si="39"/>
        <v/>
      </c>
      <c r="AC16" s="147">
        <f>MIN(A16:Z16)</f>
        <v>0</v>
      </c>
      <c r="AD16" s="147">
        <f>MAX(A16:Z16)</f>
        <v>0</v>
      </c>
      <c r="AF16" s="148" t="str">
        <f>IF(AC16=AD16,"ANO","NE")</f>
        <v>ANO</v>
      </c>
    </row>
    <row r="17" spans="1:32" ht="5.25" customHeight="1" x14ac:dyDescent="0.25"/>
    <row r="18" spans="1:32" ht="15.75" thickBot="1" x14ac:dyDescent="0.3">
      <c r="A18" s="147">
        <f>KÚ_1!$L$21</f>
        <v>0</v>
      </c>
      <c r="B18" s="147">
        <f>KÚ_2!$L$21</f>
        <v>0</v>
      </c>
      <c r="C18" s="147">
        <f>KÚ_3!$L$21</f>
        <v>0</v>
      </c>
      <c r="D18" s="147">
        <f>KÚ_4!$L$21</f>
        <v>0</v>
      </c>
      <c r="E18" s="147">
        <f>KÚ_5!$L$21</f>
        <v>0</v>
      </c>
      <c r="F18" s="147">
        <f>KÚ_6!$L$21</f>
        <v>0</v>
      </c>
      <c r="G18" s="147" t="e">
        <f>#REF!</f>
        <v>#REF!</v>
      </c>
      <c r="H18" s="147" t="e">
        <f>#REF!</f>
        <v>#REF!</v>
      </c>
      <c r="I18" s="147" t="e">
        <f>#REF!</f>
        <v>#REF!</v>
      </c>
      <c r="J18" s="147" t="e">
        <f>#REF!</f>
        <v>#REF!</v>
      </c>
      <c r="K18" s="147" t="e">
        <f>#REF!</f>
        <v>#REF!</v>
      </c>
      <c r="L18" s="147" t="e">
        <f>#REF!</f>
        <v>#REF!</v>
      </c>
      <c r="M18" s="147" t="e">
        <f>#REF!</f>
        <v>#REF!</v>
      </c>
      <c r="N18" s="147" t="e">
        <f>#REF!</f>
        <v>#REF!</v>
      </c>
      <c r="O18" s="147" t="e">
        <f>#REF!</f>
        <v>#REF!</v>
      </c>
      <c r="P18" s="147" t="e">
        <f>#REF!</f>
        <v>#REF!</v>
      </c>
      <c r="Q18" s="147" t="e">
        <f>#REF!</f>
        <v>#REF!</v>
      </c>
      <c r="R18" s="147" t="e">
        <f>#REF!</f>
        <v>#REF!</v>
      </c>
      <c r="S18" s="147" t="e">
        <f>#REF!</f>
        <v>#REF!</v>
      </c>
      <c r="T18" s="147" t="e">
        <f>#REF!</f>
        <v>#REF!</v>
      </c>
      <c r="U18" s="147" t="e">
        <f>#REF!</f>
        <v>#REF!</v>
      </c>
      <c r="V18" s="147" t="e">
        <f>#REF!</f>
        <v>#REF!</v>
      </c>
      <c r="W18" s="147" t="e">
        <f>#REF!</f>
        <v>#REF!</v>
      </c>
      <c r="X18" s="147" t="e">
        <f>#REF!</f>
        <v>#REF!</v>
      </c>
      <c r="Y18" s="147" t="e">
        <f>#REF!</f>
        <v>#REF!</v>
      </c>
      <c r="Z18" s="147" t="e">
        <f>#REF!</f>
        <v>#REF!</v>
      </c>
      <c r="AA18" t="s">
        <v>162</v>
      </c>
      <c r="AB18">
        <f>COUNT(A18:Z18)</f>
        <v>6</v>
      </c>
      <c r="AC18" s="147" t="e">
        <f>MIN(A18:Z18)</f>
        <v>#REF!</v>
      </c>
      <c r="AD18" s="147" t="e">
        <f>MAX(A18:Z18)</f>
        <v>#REF!</v>
      </c>
      <c r="AF18" s="147" t="e">
        <f>IF(AC18=AD18,"ANO","NE")</f>
        <v>#REF!</v>
      </c>
    </row>
    <row r="19" spans="1:32" ht="15.75" thickBot="1" x14ac:dyDescent="0.3">
      <c r="A19">
        <f>IFERROR(A18,"")</f>
        <v>0</v>
      </c>
      <c r="B19">
        <f t="shared" ref="B19" si="40">IFERROR(B18,"")</f>
        <v>0</v>
      </c>
      <c r="C19">
        <f t="shared" ref="C19" si="41">IFERROR(C18,"")</f>
        <v>0</v>
      </c>
      <c r="D19">
        <f t="shared" ref="D19" si="42">IFERROR(D18,"")</f>
        <v>0</v>
      </c>
      <c r="E19">
        <f t="shared" ref="E19" si="43">IFERROR(E18,"")</f>
        <v>0</v>
      </c>
      <c r="F19">
        <f t="shared" ref="F19" si="44">IFERROR(F18,"")</f>
        <v>0</v>
      </c>
      <c r="G19" t="str">
        <f t="shared" ref="G19" si="45">IFERROR(G18,"")</f>
        <v/>
      </c>
      <c r="H19" t="str">
        <f t="shared" ref="H19" si="46">IFERROR(H18,"")</f>
        <v/>
      </c>
      <c r="I19" t="str">
        <f t="shared" ref="I19" si="47">IFERROR(I18,"")</f>
        <v/>
      </c>
      <c r="J19" t="str">
        <f t="shared" ref="J19" si="48">IFERROR(J18,"")</f>
        <v/>
      </c>
      <c r="K19" t="str">
        <f t="shared" ref="K19" si="49">IFERROR(K18,"")</f>
        <v/>
      </c>
      <c r="L19" t="str">
        <f t="shared" ref="L19" si="50">IFERROR(L18,"")</f>
        <v/>
      </c>
      <c r="M19" t="str">
        <f t="shared" ref="M19:Z19" si="51">IFERROR(M18,"")</f>
        <v/>
      </c>
      <c r="N19" t="str">
        <f t="shared" si="51"/>
        <v/>
      </c>
      <c r="O19" t="str">
        <f t="shared" si="51"/>
        <v/>
      </c>
      <c r="P19" t="str">
        <f t="shared" si="51"/>
        <v/>
      </c>
      <c r="Q19" t="str">
        <f t="shared" si="51"/>
        <v/>
      </c>
      <c r="R19" t="str">
        <f t="shared" si="51"/>
        <v/>
      </c>
      <c r="S19" t="str">
        <f t="shared" si="51"/>
        <v/>
      </c>
      <c r="T19" t="str">
        <f t="shared" si="51"/>
        <v/>
      </c>
      <c r="U19" t="str">
        <f t="shared" si="51"/>
        <v/>
      </c>
      <c r="V19" t="str">
        <f t="shared" si="51"/>
        <v/>
      </c>
      <c r="W19" t="str">
        <f t="shared" si="51"/>
        <v/>
      </c>
      <c r="X19" t="str">
        <f t="shared" si="51"/>
        <v/>
      </c>
      <c r="Y19" t="str">
        <f t="shared" si="51"/>
        <v/>
      </c>
      <c r="Z19" t="str">
        <f t="shared" si="51"/>
        <v/>
      </c>
      <c r="AC19" s="147">
        <f>MIN(A19:Z19)</f>
        <v>0</v>
      </c>
      <c r="AD19" s="147">
        <f>MAX(A19:Z19)</f>
        <v>0</v>
      </c>
      <c r="AF19" s="148" t="str">
        <f>IF(AC19=AD19,"ANO","NE")</f>
        <v>ANO</v>
      </c>
    </row>
    <row r="20" spans="1:32" ht="5.25" customHeight="1" x14ac:dyDescent="0.25"/>
    <row r="21" spans="1:32" ht="15.75" thickBot="1" x14ac:dyDescent="0.3">
      <c r="A21" s="147">
        <f>KÚ_1!$L$22</f>
        <v>0</v>
      </c>
      <c r="B21" s="147">
        <f>KÚ_2!$L$22</f>
        <v>0</v>
      </c>
      <c r="C21" s="147">
        <f>KÚ_3!$L$22</f>
        <v>0</v>
      </c>
      <c r="D21" s="147">
        <f>KÚ_4!$L$22</f>
        <v>0</v>
      </c>
      <c r="E21" s="147">
        <f>KÚ_5!$L$22</f>
        <v>0</v>
      </c>
      <c r="F21" s="147">
        <f>KÚ_6!$L$22</f>
        <v>0</v>
      </c>
      <c r="G21" s="147" t="e">
        <f>#REF!</f>
        <v>#REF!</v>
      </c>
      <c r="H21" s="147" t="e">
        <f>#REF!</f>
        <v>#REF!</v>
      </c>
      <c r="I21" s="147" t="e">
        <f>#REF!</f>
        <v>#REF!</v>
      </c>
      <c r="J21" s="147" t="e">
        <f>#REF!</f>
        <v>#REF!</v>
      </c>
      <c r="K21" s="147" t="e">
        <f>#REF!</f>
        <v>#REF!</v>
      </c>
      <c r="L21" s="147" t="e">
        <f>#REF!</f>
        <v>#REF!</v>
      </c>
      <c r="M21" s="147" t="e">
        <f>#REF!</f>
        <v>#REF!</v>
      </c>
      <c r="N21" s="147" t="e">
        <f>#REF!</f>
        <v>#REF!</v>
      </c>
      <c r="O21" s="147" t="e">
        <f>#REF!</f>
        <v>#REF!</v>
      </c>
      <c r="P21" s="147" t="e">
        <f>#REF!</f>
        <v>#REF!</v>
      </c>
      <c r="Q21" s="147" t="e">
        <f>#REF!</f>
        <v>#REF!</v>
      </c>
      <c r="R21" s="147" t="e">
        <f>#REF!</f>
        <v>#REF!</v>
      </c>
      <c r="S21" s="147" t="e">
        <f>#REF!</f>
        <v>#REF!</v>
      </c>
      <c r="T21" s="147" t="e">
        <f>#REF!</f>
        <v>#REF!</v>
      </c>
      <c r="U21" s="147" t="e">
        <f>#REF!</f>
        <v>#REF!</v>
      </c>
      <c r="V21" s="147" t="e">
        <f>#REF!</f>
        <v>#REF!</v>
      </c>
      <c r="W21" s="147" t="e">
        <f>#REF!</f>
        <v>#REF!</v>
      </c>
      <c r="X21" s="147" t="e">
        <f>#REF!</f>
        <v>#REF!</v>
      </c>
      <c r="Y21" s="147" t="e">
        <f>#REF!</f>
        <v>#REF!</v>
      </c>
      <c r="Z21" s="147" t="e">
        <f>#REF!</f>
        <v>#REF!</v>
      </c>
      <c r="AA21" t="s">
        <v>163</v>
      </c>
      <c r="AB21">
        <f>COUNT(A21:Z21)</f>
        <v>6</v>
      </c>
      <c r="AC21" s="147" t="e">
        <f>MIN(A21:Z21)</f>
        <v>#REF!</v>
      </c>
      <c r="AD21" s="147" t="e">
        <f>MAX(A21:Z21)</f>
        <v>#REF!</v>
      </c>
      <c r="AF21" s="147" t="e">
        <f>IF(AC21=AD21,"ANO","NE")</f>
        <v>#REF!</v>
      </c>
    </row>
    <row r="22" spans="1:32" ht="15.75" thickBot="1" x14ac:dyDescent="0.3">
      <c r="A22">
        <f>IFERROR(A21,"")</f>
        <v>0</v>
      </c>
      <c r="B22">
        <f t="shared" ref="B22" si="52">IFERROR(B21,"")</f>
        <v>0</v>
      </c>
      <c r="C22">
        <f t="shared" ref="C22" si="53">IFERROR(C21,"")</f>
        <v>0</v>
      </c>
      <c r="D22">
        <f t="shared" ref="D22" si="54">IFERROR(D21,"")</f>
        <v>0</v>
      </c>
      <c r="E22">
        <f t="shared" ref="E22" si="55">IFERROR(E21,"")</f>
        <v>0</v>
      </c>
      <c r="F22">
        <f t="shared" ref="F22" si="56">IFERROR(F21,"")</f>
        <v>0</v>
      </c>
      <c r="G22" t="str">
        <f t="shared" ref="G22" si="57">IFERROR(G21,"")</f>
        <v/>
      </c>
      <c r="H22" t="str">
        <f t="shared" ref="H22" si="58">IFERROR(H21,"")</f>
        <v/>
      </c>
      <c r="I22" t="str">
        <f t="shared" ref="I22" si="59">IFERROR(I21,"")</f>
        <v/>
      </c>
      <c r="J22" t="str">
        <f t="shared" ref="J22" si="60">IFERROR(J21,"")</f>
        <v/>
      </c>
      <c r="K22" t="str">
        <f t="shared" ref="K22" si="61">IFERROR(K21,"")</f>
        <v/>
      </c>
      <c r="L22" t="str">
        <f t="shared" ref="L22" si="62">IFERROR(L21,"")</f>
        <v/>
      </c>
      <c r="M22" t="str">
        <f t="shared" ref="M22:Z22" si="63">IFERROR(M21,"")</f>
        <v/>
      </c>
      <c r="N22" t="str">
        <f t="shared" si="63"/>
        <v/>
      </c>
      <c r="O22" t="str">
        <f t="shared" si="63"/>
        <v/>
      </c>
      <c r="P22" t="str">
        <f t="shared" si="63"/>
        <v/>
      </c>
      <c r="Q22" t="str">
        <f t="shared" si="63"/>
        <v/>
      </c>
      <c r="R22" t="str">
        <f t="shared" si="63"/>
        <v/>
      </c>
      <c r="S22" t="str">
        <f t="shared" si="63"/>
        <v/>
      </c>
      <c r="T22" t="str">
        <f t="shared" si="63"/>
        <v/>
      </c>
      <c r="U22" t="str">
        <f t="shared" si="63"/>
        <v/>
      </c>
      <c r="V22" t="str">
        <f t="shared" si="63"/>
        <v/>
      </c>
      <c r="W22" t="str">
        <f t="shared" si="63"/>
        <v/>
      </c>
      <c r="X22" t="str">
        <f t="shared" si="63"/>
        <v/>
      </c>
      <c r="Y22" t="str">
        <f t="shared" si="63"/>
        <v/>
      </c>
      <c r="Z22" t="str">
        <f t="shared" si="63"/>
        <v/>
      </c>
      <c r="AC22" s="147">
        <f>MIN(A22:Z22)</f>
        <v>0</v>
      </c>
      <c r="AD22" s="147">
        <f>MAX(A22:Z22)</f>
        <v>0</v>
      </c>
      <c r="AF22" s="148" t="str">
        <f>IF(AC22=AD22,"ANO","NE")</f>
        <v>ANO</v>
      </c>
    </row>
    <row r="23" spans="1:32" ht="5.25" customHeight="1" x14ac:dyDescent="0.25"/>
    <row r="24" spans="1:32" ht="15.75" thickBot="1" x14ac:dyDescent="0.3">
      <c r="A24" s="147">
        <f>KÚ_1!$L$23</f>
        <v>0</v>
      </c>
      <c r="B24" s="147">
        <f>KÚ_2!$L$23</f>
        <v>0</v>
      </c>
      <c r="C24" s="147">
        <f>KÚ_3!$L$23</f>
        <v>0</v>
      </c>
      <c r="D24" s="147">
        <f>KÚ_4!$L$23</f>
        <v>0</v>
      </c>
      <c r="E24" s="147">
        <f>KÚ_5!$L$23</f>
        <v>0</v>
      </c>
      <c r="F24" s="147">
        <f>KÚ_6!$L$23</f>
        <v>0</v>
      </c>
      <c r="G24" s="147" t="e">
        <f>#REF!</f>
        <v>#REF!</v>
      </c>
      <c r="H24" s="147" t="e">
        <f>#REF!</f>
        <v>#REF!</v>
      </c>
      <c r="I24" s="147" t="e">
        <f>#REF!</f>
        <v>#REF!</v>
      </c>
      <c r="J24" s="147" t="e">
        <f>#REF!</f>
        <v>#REF!</v>
      </c>
      <c r="K24" s="147" t="e">
        <f>#REF!</f>
        <v>#REF!</v>
      </c>
      <c r="L24" s="147" t="e">
        <f>#REF!</f>
        <v>#REF!</v>
      </c>
      <c r="M24" s="147" t="e">
        <f>#REF!</f>
        <v>#REF!</v>
      </c>
      <c r="N24" s="147" t="e">
        <f>#REF!</f>
        <v>#REF!</v>
      </c>
      <c r="O24" s="147" t="e">
        <f>#REF!</f>
        <v>#REF!</v>
      </c>
      <c r="P24" s="147" t="e">
        <f>#REF!</f>
        <v>#REF!</v>
      </c>
      <c r="Q24" s="147" t="e">
        <f>#REF!</f>
        <v>#REF!</v>
      </c>
      <c r="R24" s="147" t="e">
        <f>#REF!</f>
        <v>#REF!</v>
      </c>
      <c r="S24" s="147" t="e">
        <f>#REF!</f>
        <v>#REF!</v>
      </c>
      <c r="T24" s="147" t="e">
        <f>#REF!</f>
        <v>#REF!</v>
      </c>
      <c r="U24" s="147" t="e">
        <f>#REF!</f>
        <v>#REF!</v>
      </c>
      <c r="V24" s="147" t="e">
        <f>#REF!</f>
        <v>#REF!</v>
      </c>
      <c r="W24" s="147" t="e">
        <f>#REF!</f>
        <v>#REF!</v>
      </c>
      <c r="X24" s="147" t="e">
        <f>#REF!</f>
        <v>#REF!</v>
      </c>
      <c r="Y24" s="147" t="e">
        <f>#REF!</f>
        <v>#REF!</v>
      </c>
      <c r="Z24" s="147" t="e">
        <f>#REF!</f>
        <v>#REF!</v>
      </c>
      <c r="AA24" t="s">
        <v>164</v>
      </c>
      <c r="AB24">
        <f>COUNT(A24:Z24)</f>
        <v>6</v>
      </c>
      <c r="AC24" s="147" t="e">
        <f>MIN(A24:Z24)</f>
        <v>#REF!</v>
      </c>
      <c r="AD24" s="147" t="e">
        <f>MAX(A24:Z24)</f>
        <v>#REF!</v>
      </c>
      <c r="AF24" s="147" t="e">
        <f>IF(AC24=AD24,"ANO","NE")</f>
        <v>#REF!</v>
      </c>
    </row>
    <row r="25" spans="1:32" ht="15.75" thickBot="1" x14ac:dyDescent="0.3">
      <c r="A25">
        <f>IFERROR(A24,"")</f>
        <v>0</v>
      </c>
      <c r="B25">
        <f t="shared" ref="B25" si="64">IFERROR(B24,"")</f>
        <v>0</v>
      </c>
      <c r="C25">
        <f t="shared" ref="C25" si="65">IFERROR(C24,"")</f>
        <v>0</v>
      </c>
      <c r="D25">
        <f t="shared" ref="D25" si="66">IFERROR(D24,"")</f>
        <v>0</v>
      </c>
      <c r="E25">
        <f t="shared" ref="E25" si="67">IFERROR(E24,"")</f>
        <v>0</v>
      </c>
      <c r="F25">
        <f t="shared" ref="F25" si="68">IFERROR(F24,"")</f>
        <v>0</v>
      </c>
      <c r="G25" t="str">
        <f t="shared" ref="G25" si="69">IFERROR(G24,"")</f>
        <v/>
      </c>
      <c r="H25" t="str">
        <f t="shared" ref="H25" si="70">IFERROR(H24,"")</f>
        <v/>
      </c>
      <c r="I25" t="str">
        <f t="shared" ref="I25" si="71">IFERROR(I24,"")</f>
        <v/>
      </c>
      <c r="J25" t="str">
        <f t="shared" ref="J25" si="72">IFERROR(J24,"")</f>
        <v/>
      </c>
      <c r="K25" t="str">
        <f t="shared" ref="K25" si="73">IFERROR(K24,"")</f>
        <v/>
      </c>
      <c r="L25" t="str">
        <f t="shared" ref="L25" si="74">IFERROR(L24,"")</f>
        <v/>
      </c>
      <c r="M25" t="str">
        <f t="shared" ref="M25:Z25" si="75">IFERROR(M24,"")</f>
        <v/>
      </c>
      <c r="N25" t="str">
        <f t="shared" si="75"/>
        <v/>
      </c>
      <c r="O25" t="str">
        <f t="shared" si="75"/>
        <v/>
      </c>
      <c r="P25" t="str">
        <f t="shared" si="75"/>
        <v/>
      </c>
      <c r="Q25" t="str">
        <f t="shared" si="75"/>
        <v/>
      </c>
      <c r="R25" t="str">
        <f t="shared" si="75"/>
        <v/>
      </c>
      <c r="S25" t="str">
        <f t="shared" si="75"/>
        <v/>
      </c>
      <c r="T25" t="str">
        <f t="shared" si="75"/>
        <v/>
      </c>
      <c r="U25" t="str">
        <f t="shared" si="75"/>
        <v/>
      </c>
      <c r="V25" t="str">
        <f t="shared" si="75"/>
        <v/>
      </c>
      <c r="W25" t="str">
        <f t="shared" si="75"/>
        <v/>
      </c>
      <c r="X25" t="str">
        <f t="shared" si="75"/>
        <v/>
      </c>
      <c r="Y25" t="str">
        <f t="shared" si="75"/>
        <v/>
      </c>
      <c r="Z25" t="str">
        <f t="shared" si="75"/>
        <v/>
      </c>
      <c r="AC25" s="147">
        <f>MIN(A25:Z25)</f>
        <v>0</v>
      </c>
      <c r="AD25" s="147">
        <f>MAX(A25:Z25)</f>
        <v>0</v>
      </c>
      <c r="AF25" s="148" t="str">
        <f>IF(AC25=AD25,"ANO","NE")</f>
        <v>ANO</v>
      </c>
    </row>
    <row r="26" spans="1:32" ht="5.25" customHeight="1" x14ac:dyDescent="0.25"/>
    <row r="27" spans="1:32" ht="15.75" thickBot="1" x14ac:dyDescent="0.3">
      <c r="A27" s="147">
        <f>KÚ_1!$L$24</f>
        <v>0</v>
      </c>
      <c r="B27" s="147">
        <f>KÚ_2!$L$24</f>
        <v>0</v>
      </c>
      <c r="C27" s="147">
        <f>KÚ_3!$L$24</f>
        <v>0</v>
      </c>
      <c r="D27" s="147">
        <f>KÚ_4!$L$24</f>
        <v>0</v>
      </c>
      <c r="E27" s="147">
        <f>KÚ_5!$L$24</f>
        <v>0</v>
      </c>
      <c r="F27" s="147">
        <f>KÚ_6!$L$24</f>
        <v>0</v>
      </c>
      <c r="G27" s="147" t="e">
        <f>#REF!</f>
        <v>#REF!</v>
      </c>
      <c r="H27" s="147" t="e">
        <f>#REF!</f>
        <v>#REF!</v>
      </c>
      <c r="I27" s="147" t="e">
        <f>#REF!</f>
        <v>#REF!</v>
      </c>
      <c r="J27" s="147" t="e">
        <f>#REF!</f>
        <v>#REF!</v>
      </c>
      <c r="K27" s="147" t="e">
        <f>#REF!</f>
        <v>#REF!</v>
      </c>
      <c r="L27" s="147" t="e">
        <f>#REF!</f>
        <v>#REF!</v>
      </c>
      <c r="M27" s="147" t="e">
        <f>#REF!</f>
        <v>#REF!</v>
      </c>
      <c r="N27" s="147" t="e">
        <f>#REF!</f>
        <v>#REF!</v>
      </c>
      <c r="O27" s="147" t="e">
        <f>#REF!</f>
        <v>#REF!</v>
      </c>
      <c r="P27" s="147" t="e">
        <f>#REF!</f>
        <v>#REF!</v>
      </c>
      <c r="Q27" s="147" t="e">
        <f>#REF!</f>
        <v>#REF!</v>
      </c>
      <c r="R27" s="147" t="e">
        <f>#REF!</f>
        <v>#REF!</v>
      </c>
      <c r="S27" s="147" t="e">
        <f>#REF!</f>
        <v>#REF!</v>
      </c>
      <c r="T27" s="147" t="e">
        <f>#REF!</f>
        <v>#REF!</v>
      </c>
      <c r="U27" s="147" t="e">
        <f>#REF!</f>
        <v>#REF!</v>
      </c>
      <c r="V27" s="147" t="e">
        <f>#REF!</f>
        <v>#REF!</v>
      </c>
      <c r="W27" s="147" t="e">
        <f>#REF!</f>
        <v>#REF!</v>
      </c>
      <c r="X27" s="147" t="e">
        <f>#REF!</f>
        <v>#REF!</v>
      </c>
      <c r="Y27" s="147" t="e">
        <f>#REF!</f>
        <v>#REF!</v>
      </c>
      <c r="Z27" s="147" t="e">
        <f>#REF!</f>
        <v>#REF!</v>
      </c>
      <c r="AA27" t="s">
        <v>165</v>
      </c>
      <c r="AB27">
        <f>COUNT(A27:Z27)</f>
        <v>6</v>
      </c>
      <c r="AC27" s="147" t="e">
        <f>MIN(A27:Z27)</f>
        <v>#REF!</v>
      </c>
      <c r="AD27" s="147" t="e">
        <f>MAX(A27:Z27)</f>
        <v>#REF!</v>
      </c>
      <c r="AF27" s="147" t="e">
        <f>IF(AC27=AD27,"ANO","NE")</f>
        <v>#REF!</v>
      </c>
    </row>
    <row r="28" spans="1:32" ht="15.75" thickBot="1" x14ac:dyDescent="0.3">
      <c r="A28">
        <f>IFERROR(A27,"")</f>
        <v>0</v>
      </c>
      <c r="B28">
        <f t="shared" ref="B28" si="76">IFERROR(B27,"")</f>
        <v>0</v>
      </c>
      <c r="C28">
        <f t="shared" ref="C28" si="77">IFERROR(C27,"")</f>
        <v>0</v>
      </c>
      <c r="D28">
        <f t="shared" ref="D28" si="78">IFERROR(D27,"")</f>
        <v>0</v>
      </c>
      <c r="E28">
        <f t="shared" ref="E28" si="79">IFERROR(E27,"")</f>
        <v>0</v>
      </c>
      <c r="F28">
        <f t="shared" ref="F28" si="80">IFERROR(F27,"")</f>
        <v>0</v>
      </c>
      <c r="G28" t="str">
        <f t="shared" ref="G28" si="81">IFERROR(G27,"")</f>
        <v/>
      </c>
      <c r="H28" t="str">
        <f t="shared" ref="H28" si="82">IFERROR(H27,"")</f>
        <v/>
      </c>
      <c r="I28" t="str">
        <f t="shared" ref="I28" si="83">IFERROR(I27,"")</f>
        <v/>
      </c>
      <c r="J28" t="str">
        <f t="shared" ref="J28" si="84">IFERROR(J27,"")</f>
        <v/>
      </c>
      <c r="K28" t="str">
        <f t="shared" ref="K28" si="85">IFERROR(K27,"")</f>
        <v/>
      </c>
      <c r="L28" t="str">
        <f t="shared" ref="L28" si="86">IFERROR(L27,"")</f>
        <v/>
      </c>
      <c r="M28" t="str">
        <f t="shared" ref="M28:Z28" si="87">IFERROR(M27,"")</f>
        <v/>
      </c>
      <c r="N28" t="str">
        <f t="shared" si="87"/>
        <v/>
      </c>
      <c r="O28" t="str">
        <f t="shared" si="87"/>
        <v/>
      </c>
      <c r="P28" t="str">
        <f t="shared" si="87"/>
        <v/>
      </c>
      <c r="Q28" t="str">
        <f t="shared" si="87"/>
        <v/>
      </c>
      <c r="R28" t="str">
        <f t="shared" si="87"/>
        <v/>
      </c>
      <c r="S28" t="str">
        <f t="shared" si="87"/>
        <v/>
      </c>
      <c r="T28" t="str">
        <f t="shared" si="87"/>
        <v/>
      </c>
      <c r="U28" t="str">
        <f t="shared" si="87"/>
        <v/>
      </c>
      <c r="V28" t="str">
        <f t="shared" si="87"/>
        <v/>
      </c>
      <c r="W28" t="str">
        <f t="shared" si="87"/>
        <v/>
      </c>
      <c r="X28" t="str">
        <f t="shared" si="87"/>
        <v/>
      </c>
      <c r="Y28" t="str">
        <f t="shared" si="87"/>
        <v/>
      </c>
      <c r="Z28" t="str">
        <f t="shared" si="87"/>
        <v/>
      </c>
      <c r="AC28" s="147">
        <f>MIN(A28:Z28)</f>
        <v>0</v>
      </c>
      <c r="AD28" s="147">
        <f>MAX(A28:Z28)</f>
        <v>0</v>
      </c>
      <c r="AF28" s="148" t="str">
        <f>IF(AC28=AD28,"ANO","NE")</f>
        <v>ANO</v>
      </c>
    </row>
    <row r="29" spans="1:32" ht="5.25" customHeight="1" x14ac:dyDescent="0.25"/>
    <row r="30" spans="1:32" ht="15.75" thickBot="1" x14ac:dyDescent="0.3">
      <c r="A30" s="147">
        <f>KÚ_1!$L$25</f>
        <v>0</v>
      </c>
      <c r="B30" s="147">
        <f>KÚ_2!$L$25</f>
        <v>0</v>
      </c>
      <c r="C30" s="147">
        <f>KÚ_3!$L$25</f>
        <v>0</v>
      </c>
      <c r="D30" s="147">
        <f>KÚ_4!$L$25</f>
        <v>0</v>
      </c>
      <c r="E30" s="147">
        <f>KÚ_5!$L$25</f>
        <v>0</v>
      </c>
      <c r="F30" s="147">
        <f>KÚ_6!$L$25</f>
        <v>0</v>
      </c>
      <c r="G30" s="147" t="e">
        <f>#REF!</f>
        <v>#REF!</v>
      </c>
      <c r="H30" s="147" t="e">
        <f>#REF!</f>
        <v>#REF!</v>
      </c>
      <c r="I30" s="147" t="e">
        <f>#REF!</f>
        <v>#REF!</v>
      </c>
      <c r="J30" s="147" t="e">
        <f>#REF!</f>
        <v>#REF!</v>
      </c>
      <c r="K30" s="147" t="e">
        <f>#REF!</f>
        <v>#REF!</v>
      </c>
      <c r="L30" s="147" t="e">
        <f>#REF!</f>
        <v>#REF!</v>
      </c>
      <c r="M30" s="147" t="e">
        <f>#REF!</f>
        <v>#REF!</v>
      </c>
      <c r="N30" s="147" t="e">
        <f>#REF!</f>
        <v>#REF!</v>
      </c>
      <c r="O30" s="147" t="e">
        <f>#REF!</f>
        <v>#REF!</v>
      </c>
      <c r="P30" s="147" t="e">
        <f>#REF!</f>
        <v>#REF!</v>
      </c>
      <c r="Q30" s="147" t="e">
        <f>#REF!</f>
        <v>#REF!</v>
      </c>
      <c r="R30" s="147" t="e">
        <f>#REF!</f>
        <v>#REF!</v>
      </c>
      <c r="S30" s="147" t="e">
        <f>#REF!</f>
        <v>#REF!</v>
      </c>
      <c r="T30" s="147" t="e">
        <f>#REF!</f>
        <v>#REF!</v>
      </c>
      <c r="U30" s="147" t="e">
        <f>#REF!</f>
        <v>#REF!</v>
      </c>
      <c r="V30" s="147" t="e">
        <f>#REF!</f>
        <v>#REF!</v>
      </c>
      <c r="W30" s="147" t="e">
        <f>#REF!</f>
        <v>#REF!</v>
      </c>
      <c r="X30" s="147" t="e">
        <f>#REF!</f>
        <v>#REF!</v>
      </c>
      <c r="Y30" s="147" t="e">
        <f>#REF!</f>
        <v>#REF!</v>
      </c>
      <c r="Z30" s="147" t="e">
        <f>#REF!</f>
        <v>#REF!</v>
      </c>
      <c r="AA30" t="s">
        <v>166</v>
      </c>
      <c r="AB30">
        <f>COUNT(A30:Z30)</f>
        <v>6</v>
      </c>
      <c r="AC30" s="147" t="e">
        <f>MIN(A30:Z30)</f>
        <v>#REF!</v>
      </c>
      <c r="AD30" s="147" t="e">
        <f>MAX(A30:Z30)</f>
        <v>#REF!</v>
      </c>
      <c r="AF30" s="147" t="e">
        <f>IF(AC30=AD30,"ANO","NE")</f>
        <v>#REF!</v>
      </c>
    </row>
    <row r="31" spans="1:32" ht="15.75" thickBot="1" x14ac:dyDescent="0.3">
      <c r="A31">
        <f>IFERROR(A30,"")</f>
        <v>0</v>
      </c>
      <c r="B31">
        <f t="shared" ref="B31" si="88">IFERROR(B30,"")</f>
        <v>0</v>
      </c>
      <c r="C31">
        <f t="shared" ref="C31" si="89">IFERROR(C30,"")</f>
        <v>0</v>
      </c>
      <c r="D31">
        <f t="shared" ref="D31" si="90">IFERROR(D30,"")</f>
        <v>0</v>
      </c>
      <c r="E31">
        <f t="shared" ref="E31" si="91">IFERROR(E30,"")</f>
        <v>0</v>
      </c>
      <c r="F31">
        <f t="shared" ref="F31" si="92">IFERROR(F30,"")</f>
        <v>0</v>
      </c>
      <c r="G31" t="str">
        <f t="shared" ref="G31" si="93">IFERROR(G30,"")</f>
        <v/>
      </c>
      <c r="H31" t="str">
        <f t="shared" ref="H31" si="94">IFERROR(H30,"")</f>
        <v/>
      </c>
      <c r="I31" t="str">
        <f t="shared" ref="I31" si="95">IFERROR(I30,"")</f>
        <v/>
      </c>
      <c r="J31" t="str">
        <f t="shared" ref="J31" si="96">IFERROR(J30,"")</f>
        <v/>
      </c>
      <c r="K31" t="str">
        <f t="shared" ref="K31" si="97">IFERROR(K30,"")</f>
        <v/>
      </c>
      <c r="L31" t="str">
        <f t="shared" ref="L31" si="98">IFERROR(L30,"")</f>
        <v/>
      </c>
      <c r="M31" t="str">
        <f t="shared" ref="M31:Z31" si="99">IFERROR(M30,"")</f>
        <v/>
      </c>
      <c r="N31" t="str">
        <f t="shared" si="99"/>
        <v/>
      </c>
      <c r="O31" t="str">
        <f t="shared" si="99"/>
        <v/>
      </c>
      <c r="P31" t="str">
        <f t="shared" si="99"/>
        <v/>
      </c>
      <c r="Q31" t="str">
        <f t="shared" si="99"/>
        <v/>
      </c>
      <c r="R31" t="str">
        <f t="shared" si="99"/>
        <v/>
      </c>
      <c r="S31" t="str">
        <f t="shared" si="99"/>
        <v/>
      </c>
      <c r="T31" t="str">
        <f t="shared" si="99"/>
        <v/>
      </c>
      <c r="U31" t="str">
        <f t="shared" si="99"/>
        <v/>
      </c>
      <c r="V31" t="str">
        <f t="shared" si="99"/>
        <v/>
      </c>
      <c r="W31" t="str">
        <f t="shared" si="99"/>
        <v/>
      </c>
      <c r="X31" t="str">
        <f t="shared" si="99"/>
        <v/>
      </c>
      <c r="Y31" t="str">
        <f t="shared" si="99"/>
        <v/>
      </c>
      <c r="Z31" t="str">
        <f t="shared" si="99"/>
        <v/>
      </c>
      <c r="AC31" s="147">
        <f>MIN(A31:Z31)</f>
        <v>0</v>
      </c>
      <c r="AD31" s="147">
        <f>MAX(A31:Z31)</f>
        <v>0</v>
      </c>
      <c r="AF31" s="148" t="str">
        <f>IF(AC31=AD31,"ANO","NE")</f>
        <v>ANO</v>
      </c>
    </row>
    <row r="32" spans="1:32" ht="5.25" customHeight="1" x14ac:dyDescent="0.25"/>
    <row r="33" spans="1:32" ht="15.75" thickBot="1" x14ac:dyDescent="0.3">
      <c r="A33" s="147">
        <f>KÚ_1!$L$26</f>
        <v>0</v>
      </c>
      <c r="B33" s="147">
        <f>KÚ_2!$L$26</f>
        <v>0</v>
      </c>
      <c r="C33" s="147">
        <f>KÚ_3!$L$26</f>
        <v>0</v>
      </c>
      <c r="D33" s="147">
        <f>KÚ_4!$L$26</f>
        <v>0</v>
      </c>
      <c r="E33" s="147">
        <f>KÚ_5!$L$26</f>
        <v>0</v>
      </c>
      <c r="F33" s="147">
        <f>KÚ_6!$L$26</f>
        <v>0</v>
      </c>
      <c r="G33" s="147" t="e">
        <f>#REF!</f>
        <v>#REF!</v>
      </c>
      <c r="H33" s="147" t="e">
        <f>#REF!</f>
        <v>#REF!</v>
      </c>
      <c r="I33" s="147" t="e">
        <f>#REF!</f>
        <v>#REF!</v>
      </c>
      <c r="J33" s="147" t="e">
        <f>#REF!</f>
        <v>#REF!</v>
      </c>
      <c r="K33" s="147" t="e">
        <f>#REF!</f>
        <v>#REF!</v>
      </c>
      <c r="L33" s="147" t="e">
        <f>#REF!</f>
        <v>#REF!</v>
      </c>
      <c r="M33" s="147" t="e">
        <f>#REF!</f>
        <v>#REF!</v>
      </c>
      <c r="N33" s="147" t="e">
        <f>#REF!</f>
        <v>#REF!</v>
      </c>
      <c r="O33" s="147" t="e">
        <f>#REF!</f>
        <v>#REF!</v>
      </c>
      <c r="P33" s="147" t="e">
        <f>#REF!</f>
        <v>#REF!</v>
      </c>
      <c r="Q33" s="147" t="e">
        <f>#REF!</f>
        <v>#REF!</v>
      </c>
      <c r="R33" s="147" t="e">
        <f>#REF!</f>
        <v>#REF!</v>
      </c>
      <c r="S33" s="147" t="e">
        <f>#REF!</f>
        <v>#REF!</v>
      </c>
      <c r="T33" s="147" t="e">
        <f>#REF!</f>
        <v>#REF!</v>
      </c>
      <c r="U33" s="147" t="e">
        <f>#REF!</f>
        <v>#REF!</v>
      </c>
      <c r="V33" s="147" t="e">
        <f>#REF!</f>
        <v>#REF!</v>
      </c>
      <c r="W33" s="147" t="e">
        <f>#REF!</f>
        <v>#REF!</v>
      </c>
      <c r="X33" s="147" t="e">
        <f>#REF!</f>
        <v>#REF!</v>
      </c>
      <c r="Y33" s="147" t="e">
        <f>#REF!</f>
        <v>#REF!</v>
      </c>
      <c r="Z33" s="147" t="e">
        <f>#REF!</f>
        <v>#REF!</v>
      </c>
      <c r="AA33" t="s">
        <v>167</v>
      </c>
      <c r="AB33">
        <f>COUNT(A33:Z33)</f>
        <v>6</v>
      </c>
      <c r="AC33" s="147" t="e">
        <f>MIN(A33:Z33)</f>
        <v>#REF!</v>
      </c>
      <c r="AD33" s="147" t="e">
        <f>MAX(A33:Z33)</f>
        <v>#REF!</v>
      </c>
      <c r="AF33" s="147" t="e">
        <f>IF(AC33=AD33,"ANO","NE")</f>
        <v>#REF!</v>
      </c>
    </row>
    <row r="34" spans="1:32" ht="15.75" thickBot="1" x14ac:dyDescent="0.3">
      <c r="A34">
        <f>IFERROR(A33,"")</f>
        <v>0</v>
      </c>
      <c r="B34">
        <f t="shared" ref="B34" si="100">IFERROR(B33,"")</f>
        <v>0</v>
      </c>
      <c r="C34">
        <f t="shared" ref="C34" si="101">IFERROR(C33,"")</f>
        <v>0</v>
      </c>
      <c r="D34">
        <f t="shared" ref="D34" si="102">IFERROR(D33,"")</f>
        <v>0</v>
      </c>
      <c r="E34">
        <f t="shared" ref="E34" si="103">IFERROR(E33,"")</f>
        <v>0</v>
      </c>
      <c r="F34">
        <f t="shared" ref="F34" si="104">IFERROR(F33,"")</f>
        <v>0</v>
      </c>
      <c r="G34" t="str">
        <f t="shared" ref="G34" si="105">IFERROR(G33,"")</f>
        <v/>
      </c>
      <c r="H34" t="str">
        <f t="shared" ref="H34" si="106">IFERROR(H33,"")</f>
        <v/>
      </c>
      <c r="I34" t="str">
        <f t="shared" ref="I34" si="107">IFERROR(I33,"")</f>
        <v/>
      </c>
      <c r="J34" t="str">
        <f t="shared" ref="J34" si="108">IFERROR(J33,"")</f>
        <v/>
      </c>
      <c r="K34" t="str">
        <f t="shared" ref="K34" si="109">IFERROR(K33,"")</f>
        <v/>
      </c>
      <c r="L34" t="str">
        <f t="shared" ref="L34" si="110">IFERROR(L33,"")</f>
        <v/>
      </c>
      <c r="M34" t="str">
        <f t="shared" ref="M34:Z34" si="111">IFERROR(M33,"")</f>
        <v/>
      </c>
      <c r="N34" t="str">
        <f t="shared" si="111"/>
        <v/>
      </c>
      <c r="O34" t="str">
        <f t="shared" si="111"/>
        <v/>
      </c>
      <c r="P34" t="str">
        <f t="shared" si="111"/>
        <v/>
      </c>
      <c r="Q34" t="str">
        <f t="shared" si="111"/>
        <v/>
      </c>
      <c r="R34" t="str">
        <f t="shared" si="111"/>
        <v/>
      </c>
      <c r="S34" t="str">
        <f t="shared" si="111"/>
        <v/>
      </c>
      <c r="T34" t="str">
        <f t="shared" si="111"/>
        <v/>
      </c>
      <c r="U34" t="str">
        <f t="shared" si="111"/>
        <v/>
      </c>
      <c r="V34" t="str">
        <f t="shared" si="111"/>
        <v/>
      </c>
      <c r="W34" t="str">
        <f t="shared" si="111"/>
        <v/>
      </c>
      <c r="X34" t="str">
        <f t="shared" si="111"/>
        <v/>
      </c>
      <c r="Y34" t="str">
        <f t="shared" si="111"/>
        <v/>
      </c>
      <c r="Z34" t="str">
        <f t="shared" si="111"/>
        <v/>
      </c>
      <c r="AC34" s="147">
        <f>MIN(A34:Z34)</f>
        <v>0</v>
      </c>
      <c r="AD34" s="147">
        <f>MAX(A34:Z34)</f>
        <v>0</v>
      </c>
      <c r="AF34" s="148" t="str">
        <f>IF(AC34=AD34,"ANO","NE")</f>
        <v>ANO</v>
      </c>
    </row>
    <row r="35" spans="1:32" ht="5.25" customHeight="1" x14ac:dyDescent="0.25"/>
    <row r="36" spans="1:32" ht="15.75" thickBot="1" x14ac:dyDescent="0.3">
      <c r="A36" s="147">
        <f>KÚ_1!$L$28</f>
        <v>0</v>
      </c>
      <c r="B36" s="147">
        <f>KÚ_2!$L$28</f>
        <v>0</v>
      </c>
      <c r="C36" s="147">
        <f>KÚ_3!$L$28</f>
        <v>0</v>
      </c>
      <c r="D36" s="147">
        <f>KÚ_4!$L$28</f>
        <v>0</v>
      </c>
      <c r="E36" s="147">
        <f>KÚ_5!$L$28</f>
        <v>0</v>
      </c>
      <c r="F36" s="147">
        <f>KÚ_6!$L$28</f>
        <v>0</v>
      </c>
      <c r="G36" s="147" t="e">
        <f>#REF!</f>
        <v>#REF!</v>
      </c>
      <c r="H36" s="147" t="e">
        <f>#REF!</f>
        <v>#REF!</v>
      </c>
      <c r="I36" s="147" t="e">
        <f>#REF!</f>
        <v>#REF!</v>
      </c>
      <c r="J36" s="147" t="e">
        <f>#REF!</f>
        <v>#REF!</v>
      </c>
      <c r="K36" s="147" t="e">
        <f>#REF!</f>
        <v>#REF!</v>
      </c>
      <c r="L36" s="147" t="e">
        <f>#REF!</f>
        <v>#REF!</v>
      </c>
      <c r="M36" s="147" t="e">
        <f>#REF!</f>
        <v>#REF!</v>
      </c>
      <c r="N36" s="147" t="e">
        <f>#REF!</f>
        <v>#REF!</v>
      </c>
      <c r="O36" s="147" t="e">
        <f>#REF!</f>
        <v>#REF!</v>
      </c>
      <c r="P36" s="147" t="e">
        <f>#REF!</f>
        <v>#REF!</v>
      </c>
      <c r="Q36" s="147" t="e">
        <f>#REF!</f>
        <v>#REF!</v>
      </c>
      <c r="R36" s="147" t="e">
        <f>#REF!</f>
        <v>#REF!</v>
      </c>
      <c r="S36" s="147" t="e">
        <f>#REF!</f>
        <v>#REF!</v>
      </c>
      <c r="T36" s="147" t="e">
        <f>#REF!</f>
        <v>#REF!</v>
      </c>
      <c r="U36" s="147" t="e">
        <f>#REF!</f>
        <v>#REF!</v>
      </c>
      <c r="V36" s="147" t="e">
        <f>#REF!</f>
        <v>#REF!</v>
      </c>
      <c r="W36" s="147" t="e">
        <f>#REF!</f>
        <v>#REF!</v>
      </c>
      <c r="X36" s="147" t="e">
        <f>#REF!</f>
        <v>#REF!</v>
      </c>
      <c r="Y36" s="147" t="e">
        <f>#REF!</f>
        <v>#REF!</v>
      </c>
      <c r="Z36" s="147" t="e">
        <f>#REF!</f>
        <v>#REF!</v>
      </c>
      <c r="AA36" t="s">
        <v>168</v>
      </c>
      <c r="AB36">
        <f>COUNT(A36:Z36)</f>
        <v>6</v>
      </c>
      <c r="AC36" s="147" t="e">
        <f>MIN(A36:Z36)</f>
        <v>#REF!</v>
      </c>
      <c r="AD36" s="147" t="e">
        <f>MAX(A36:Z36)</f>
        <v>#REF!</v>
      </c>
      <c r="AF36" s="147" t="e">
        <f>IF(AC36=AD36,"ANO","NE")</f>
        <v>#REF!</v>
      </c>
    </row>
    <row r="37" spans="1:32" ht="15.75" thickBot="1" x14ac:dyDescent="0.3">
      <c r="A37">
        <f>IFERROR(A36,"")</f>
        <v>0</v>
      </c>
      <c r="B37">
        <f t="shared" ref="B37" si="112">IFERROR(B36,"")</f>
        <v>0</v>
      </c>
      <c r="C37">
        <f t="shared" ref="C37" si="113">IFERROR(C36,"")</f>
        <v>0</v>
      </c>
      <c r="D37">
        <f t="shared" ref="D37" si="114">IFERROR(D36,"")</f>
        <v>0</v>
      </c>
      <c r="E37">
        <f t="shared" ref="E37" si="115">IFERROR(E36,"")</f>
        <v>0</v>
      </c>
      <c r="F37">
        <f t="shared" ref="F37" si="116">IFERROR(F36,"")</f>
        <v>0</v>
      </c>
      <c r="G37" t="str">
        <f t="shared" ref="G37" si="117">IFERROR(G36,"")</f>
        <v/>
      </c>
      <c r="H37" t="str">
        <f t="shared" ref="H37" si="118">IFERROR(H36,"")</f>
        <v/>
      </c>
      <c r="I37" t="str">
        <f t="shared" ref="I37" si="119">IFERROR(I36,"")</f>
        <v/>
      </c>
      <c r="J37" t="str">
        <f t="shared" ref="J37" si="120">IFERROR(J36,"")</f>
        <v/>
      </c>
      <c r="K37" t="str">
        <f t="shared" ref="K37" si="121">IFERROR(K36,"")</f>
        <v/>
      </c>
      <c r="L37" t="str">
        <f t="shared" ref="L37" si="122">IFERROR(L36,"")</f>
        <v/>
      </c>
      <c r="M37" t="str">
        <f t="shared" ref="M37:Z37" si="123">IFERROR(M36,"")</f>
        <v/>
      </c>
      <c r="N37" t="str">
        <f t="shared" si="123"/>
        <v/>
      </c>
      <c r="O37" t="str">
        <f t="shared" si="123"/>
        <v/>
      </c>
      <c r="P37" t="str">
        <f t="shared" si="123"/>
        <v/>
      </c>
      <c r="Q37" t="str">
        <f t="shared" si="123"/>
        <v/>
      </c>
      <c r="R37" t="str">
        <f t="shared" si="123"/>
        <v/>
      </c>
      <c r="S37" t="str">
        <f t="shared" si="123"/>
        <v/>
      </c>
      <c r="T37" t="str">
        <f t="shared" si="123"/>
        <v/>
      </c>
      <c r="U37" t="str">
        <f t="shared" si="123"/>
        <v/>
      </c>
      <c r="V37" t="str">
        <f t="shared" si="123"/>
        <v/>
      </c>
      <c r="W37" t="str">
        <f t="shared" si="123"/>
        <v/>
      </c>
      <c r="X37" t="str">
        <f t="shared" si="123"/>
        <v/>
      </c>
      <c r="Y37" t="str">
        <f t="shared" si="123"/>
        <v/>
      </c>
      <c r="Z37" t="str">
        <f t="shared" si="123"/>
        <v/>
      </c>
      <c r="AC37" s="147">
        <f>MIN(A37:Z37)</f>
        <v>0</v>
      </c>
      <c r="AD37" s="147">
        <f>MAX(A37:Z37)</f>
        <v>0</v>
      </c>
      <c r="AF37" s="148" t="str">
        <f>IF(AC37=AD37,"ANO","NE")</f>
        <v>ANO</v>
      </c>
    </row>
    <row r="38" spans="1:32" ht="5.25" customHeight="1" x14ac:dyDescent="0.25"/>
    <row r="39" spans="1:32" ht="15.75" thickBot="1" x14ac:dyDescent="0.3">
      <c r="A39" s="147">
        <f>KÚ_1!$L$29</f>
        <v>0</v>
      </c>
      <c r="B39" s="147">
        <f>KÚ_2!$L$29</f>
        <v>0</v>
      </c>
      <c r="C39" s="147">
        <f>KÚ_3!$L$29</f>
        <v>0</v>
      </c>
      <c r="D39" s="147">
        <f>KÚ_4!$L$29</f>
        <v>0</v>
      </c>
      <c r="E39" s="147">
        <f>KÚ_5!$L$29</f>
        <v>0</v>
      </c>
      <c r="F39" s="147">
        <f>KÚ_6!$L$29</f>
        <v>0</v>
      </c>
      <c r="G39" s="147" t="e">
        <f>#REF!</f>
        <v>#REF!</v>
      </c>
      <c r="H39" s="147" t="e">
        <f>#REF!</f>
        <v>#REF!</v>
      </c>
      <c r="I39" s="147" t="e">
        <f>#REF!</f>
        <v>#REF!</v>
      </c>
      <c r="J39" s="147" t="e">
        <f>#REF!</f>
        <v>#REF!</v>
      </c>
      <c r="K39" s="147" t="e">
        <f>#REF!</f>
        <v>#REF!</v>
      </c>
      <c r="L39" s="147" t="e">
        <f>#REF!</f>
        <v>#REF!</v>
      </c>
      <c r="M39" s="147" t="e">
        <f>#REF!</f>
        <v>#REF!</v>
      </c>
      <c r="N39" s="147" t="e">
        <f>#REF!</f>
        <v>#REF!</v>
      </c>
      <c r="O39" s="147" t="e">
        <f>#REF!</f>
        <v>#REF!</v>
      </c>
      <c r="P39" s="147" t="e">
        <f>#REF!</f>
        <v>#REF!</v>
      </c>
      <c r="Q39" s="147" t="e">
        <f>#REF!</f>
        <v>#REF!</v>
      </c>
      <c r="R39" s="147" t="e">
        <f>#REF!</f>
        <v>#REF!</v>
      </c>
      <c r="S39" s="147" t="e">
        <f>#REF!</f>
        <v>#REF!</v>
      </c>
      <c r="T39" s="147" t="e">
        <f>#REF!</f>
        <v>#REF!</v>
      </c>
      <c r="U39" s="147" t="e">
        <f>#REF!</f>
        <v>#REF!</v>
      </c>
      <c r="V39" s="147" t="e">
        <f>#REF!</f>
        <v>#REF!</v>
      </c>
      <c r="W39" s="147" t="e">
        <f>#REF!</f>
        <v>#REF!</v>
      </c>
      <c r="X39" s="147" t="e">
        <f>#REF!</f>
        <v>#REF!</v>
      </c>
      <c r="Y39" s="147" t="e">
        <f>#REF!</f>
        <v>#REF!</v>
      </c>
      <c r="Z39" s="147" t="e">
        <f>#REF!</f>
        <v>#REF!</v>
      </c>
      <c r="AA39" t="s">
        <v>169</v>
      </c>
      <c r="AB39">
        <f>COUNT(A39:Z39)</f>
        <v>6</v>
      </c>
      <c r="AC39" s="147" t="e">
        <f>MIN(A39:Z39)</f>
        <v>#REF!</v>
      </c>
      <c r="AD39" s="147" t="e">
        <f>MAX(A39:Z39)</f>
        <v>#REF!</v>
      </c>
      <c r="AF39" s="147" t="e">
        <f>IF(AC39=AD39,"ANO","NE")</f>
        <v>#REF!</v>
      </c>
    </row>
    <row r="40" spans="1:32" ht="15.75" thickBot="1" x14ac:dyDescent="0.3">
      <c r="A40">
        <f>IFERROR(A39,"")</f>
        <v>0</v>
      </c>
      <c r="B40">
        <f t="shared" ref="B40" si="124">IFERROR(B39,"")</f>
        <v>0</v>
      </c>
      <c r="C40">
        <f t="shared" ref="C40" si="125">IFERROR(C39,"")</f>
        <v>0</v>
      </c>
      <c r="D40">
        <f t="shared" ref="D40" si="126">IFERROR(D39,"")</f>
        <v>0</v>
      </c>
      <c r="E40">
        <f t="shared" ref="E40" si="127">IFERROR(E39,"")</f>
        <v>0</v>
      </c>
      <c r="F40">
        <f t="shared" ref="F40" si="128">IFERROR(F39,"")</f>
        <v>0</v>
      </c>
      <c r="G40" t="str">
        <f t="shared" ref="G40" si="129">IFERROR(G39,"")</f>
        <v/>
      </c>
      <c r="H40" t="str">
        <f t="shared" ref="H40" si="130">IFERROR(H39,"")</f>
        <v/>
      </c>
      <c r="I40" t="str">
        <f t="shared" ref="I40" si="131">IFERROR(I39,"")</f>
        <v/>
      </c>
      <c r="J40" t="str">
        <f t="shared" ref="J40" si="132">IFERROR(J39,"")</f>
        <v/>
      </c>
      <c r="K40" t="str">
        <f t="shared" ref="K40" si="133">IFERROR(K39,"")</f>
        <v/>
      </c>
      <c r="L40" t="str">
        <f t="shared" ref="L40" si="134">IFERROR(L39,"")</f>
        <v/>
      </c>
      <c r="M40" t="str">
        <f t="shared" ref="M40:Z40" si="135">IFERROR(M39,"")</f>
        <v/>
      </c>
      <c r="N40" t="str">
        <f t="shared" si="135"/>
        <v/>
      </c>
      <c r="O40" t="str">
        <f t="shared" si="135"/>
        <v/>
      </c>
      <c r="P40" t="str">
        <f t="shared" si="135"/>
        <v/>
      </c>
      <c r="Q40" t="str">
        <f t="shared" si="135"/>
        <v/>
      </c>
      <c r="R40" t="str">
        <f t="shared" si="135"/>
        <v/>
      </c>
      <c r="S40" t="str">
        <f t="shared" si="135"/>
        <v/>
      </c>
      <c r="T40" t="str">
        <f t="shared" si="135"/>
        <v/>
      </c>
      <c r="U40" t="str">
        <f t="shared" si="135"/>
        <v/>
      </c>
      <c r="V40" t="str">
        <f t="shared" si="135"/>
        <v/>
      </c>
      <c r="W40" t="str">
        <f t="shared" si="135"/>
        <v/>
      </c>
      <c r="X40" t="str">
        <f t="shared" si="135"/>
        <v/>
      </c>
      <c r="Y40" t="str">
        <f t="shared" si="135"/>
        <v/>
      </c>
      <c r="Z40" t="str">
        <f t="shared" si="135"/>
        <v/>
      </c>
      <c r="AC40" s="147">
        <f>MIN(A40:Z40)</f>
        <v>0</v>
      </c>
      <c r="AD40" s="147">
        <f>MAX(A40:Z40)</f>
        <v>0</v>
      </c>
      <c r="AF40" s="148" t="str">
        <f>IF(AC40=AD40,"ANO","NE")</f>
        <v>ANO</v>
      </c>
    </row>
    <row r="41" spans="1:32" ht="5.25" customHeight="1" x14ac:dyDescent="0.25"/>
    <row r="42" spans="1:32" ht="15.75" thickBot="1" x14ac:dyDescent="0.3">
      <c r="A42" s="147">
        <f>KÚ_1!$L$30</f>
        <v>5</v>
      </c>
      <c r="B42" s="147">
        <f>KÚ_2!$L$30</f>
        <v>5</v>
      </c>
      <c r="C42" s="147">
        <f>KÚ_3!$L$30</f>
        <v>5</v>
      </c>
      <c r="D42" s="147">
        <f>KÚ_4!$L$30</f>
        <v>5</v>
      </c>
      <c r="E42" s="147">
        <f>KÚ_5!$L$30</f>
        <v>5</v>
      </c>
      <c r="F42" s="147">
        <f>KÚ_6!$L$30</f>
        <v>5</v>
      </c>
      <c r="G42" s="147" t="e">
        <f>#REF!</f>
        <v>#REF!</v>
      </c>
      <c r="H42" s="147" t="e">
        <f>#REF!</f>
        <v>#REF!</v>
      </c>
      <c r="I42" s="147" t="e">
        <f>#REF!</f>
        <v>#REF!</v>
      </c>
      <c r="J42" s="147" t="e">
        <f>#REF!</f>
        <v>#REF!</v>
      </c>
      <c r="K42" s="147" t="e">
        <f>#REF!</f>
        <v>#REF!</v>
      </c>
      <c r="L42" s="147" t="e">
        <f>#REF!</f>
        <v>#REF!</v>
      </c>
      <c r="M42" s="147" t="e">
        <f>#REF!</f>
        <v>#REF!</v>
      </c>
      <c r="N42" s="147" t="e">
        <f>#REF!</f>
        <v>#REF!</v>
      </c>
      <c r="O42" s="147" t="e">
        <f>#REF!</f>
        <v>#REF!</v>
      </c>
      <c r="P42" s="147" t="e">
        <f>#REF!</f>
        <v>#REF!</v>
      </c>
      <c r="Q42" s="147" t="e">
        <f>#REF!</f>
        <v>#REF!</v>
      </c>
      <c r="R42" s="147" t="e">
        <f>#REF!</f>
        <v>#REF!</v>
      </c>
      <c r="S42" s="147" t="e">
        <f>#REF!</f>
        <v>#REF!</v>
      </c>
      <c r="T42" s="147" t="e">
        <f>#REF!</f>
        <v>#REF!</v>
      </c>
      <c r="U42" s="147" t="e">
        <f>#REF!</f>
        <v>#REF!</v>
      </c>
      <c r="V42" s="147" t="e">
        <f>#REF!</f>
        <v>#REF!</v>
      </c>
      <c r="W42" s="147" t="e">
        <f>#REF!</f>
        <v>#REF!</v>
      </c>
      <c r="X42" s="147" t="e">
        <f>#REF!</f>
        <v>#REF!</v>
      </c>
      <c r="Y42" s="147" t="e">
        <f>#REF!</f>
        <v>#REF!</v>
      </c>
      <c r="Z42" s="147" t="e">
        <f>#REF!</f>
        <v>#REF!</v>
      </c>
      <c r="AA42" t="s">
        <v>170</v>
      </c>
      <c r="AB42">
        <f>COUNT(A42:Z42)</f>
        <v>6</v>
      </c>
      <c r="AC42" s="147" t="e">
        <f>MIN(A42:Z42)</f>
        <v>#REF!</v>
      </c>
      <c r="AD42" s="147" t="e">
        <f>MAX(A42:Z42)</f>
        <v>#REF!</v>
      </c>
      <c r="AF42" s="147" t="e">
        <f>IF(AC42=AD42,"ANO","NE")</f>
        <v>#REF!</v>
      </c>
    </row>
    <row r="43" spans="1:32" ht="15.75" thickBot="1" x14ac:dyDescent="0.3">
      <c r="A43">
        <f>IFERROR(A42,"")</f>
        <v>5</v>
      </c>
      <c r="B43">
        <f t="shared" ref="B43" si="136">IFERROR(B42,"")</f>
        <v>5</v>
      </c>
      <c r="C43">
        <f t="shared" ref="C43" si="137">IFERROR(C42,"")</f>
        <v>5</v>
      </c>
      <c r="D43">
        <f t="shared" ref="D43" si="138">IFERROR(D42,"")</f>
        <v>5</v>
      </c>
      <c r="E43">
        <f t="shared" ref="E43" si="139">IFERROR(E42,"")</f>
        <v>5</v>
      </c>
      <c r="F43">
        <f t="shared" ref="F43" si="140">IFERROR(F42,"")</f>
        <v>5</v>
      </c>
      <c r="G43" t="str">
        <f t="shared" ref="G43" si="141">IFERROR(G42,"")</f>
        <v/>
      </c>
      <c r="H43" t="str">
        <f t="shared" ref="H43" si="142">IFERROR(H42,"")</f>
        <v/>
      </c>
      <c r="I43" t="str">
        <f t="shared" ref="I43" si="143">IFERROR(I42,"")</f>
        <v/>
      </c>
      <c r="J43" t="str">
        <f t="shared" ref="J43" si="144">IFERROR(J42,"")</f>
        <v/>
      </c>
      <c r="K43" t="str">
        <f t="shared" ref="K43" si="145">IFERROR(K42,"")</f>
        <v/>
      </c>
      <c r="L43" t="str">
        <f t="shared" ref="L43" si="146">IFERROR(L42,"")</f>
        <v/>
      </c>
      <c r="M43" t="str">
        <f t="shared" ref="M43:Z43" si="147">IFERROR(M42,"")</f>
        <v/>
      </c>
      <c r="N43" t="str">
        <f t="shared" si="147"/>
        <v/>
      </c>
      <c r="O43" t="str">
        <f t="shared" si="147"/>
        <v/>
      </c>
      <c r="P43" t="str">
        <f t="shared" si="147"/>
        <v/>
      </c>
      <c r="Q43" t="str">
        <f t="shared" si="147"/>
        <v/>
      </c>
      <c r="R43" t="str">
        <f t="shared" si="147"/>
        <v/>
      </c>
      <c r="S43" t="str">
        <f t="shared" si="147"/>
        <v/>
      </c>
      <c r="T43" t="str">
        <f t="shared" si="147"/>
        <v/>
      </c>
      <c r="U43" t="str">
        <f t="shared" si="147"/>
        <v/>
      </c>
      <c r="V43" t="str">
        <f t="shared" si="147"/>
        <v/>
      </c>
      <c r="W43" t="str">
        <f t="shared" si="147"/>
        <v/>
      </c>
      <c r="X43" t="str">
        <f t="shared" si="147"/>
        <v/>
      </c>
      <c r="Y43" t="str">
        <f t="shared" si="147"/>
        <v/>
      </c>
      <c r="Z43" t="str">
        <f t="shared" si="147"/>
        <v/>
      </c>
      <c r="AC43" s="147">
        <f>MIN(A43:Z43)</f>
        <v>5</v>
      </c>
      <c r="AD43" s="147">
        <f>MAX(A43:Z43)</f>
        <v>5</v>
      </c>
      <c r="AF43" s="148" t="str">
        <f>IF(AC43=AD43,"ANO","NE")</f>
        <v>ANO</v>
      </c>
    </row>
    <row r="44" spans="1:32" ht="5.25" customHeight="1" x14ac:dyDescent="0.25"/>
    <row r="45" spans="1:32" ht="15.75" thickBot="1" x14ac:dyDescent="0.3">
      <c r="A45" s="147">
        <f>KÚ_1!$L$32</f>
        <v>3</v>
      </c>
      <c r="B45" s="147">
        <f>KÚ_2!$L$32</f>
        <v>3</v>
      </c>
      <c r="C45" s="147">
        <f>KÚ_3!$L$32</f>
        <v>3</v>
      </c>
      <c r="D45" s="147">
        <f>KÚ_4!$L$32</f>
        <v>3</v>
      </c>
      <c r="E45" s="147">
        <f>KÚ_5!$L$32</f>
        <v>3</v>
      </c>
      <c r="F45" s="147">
        <f>KÚ_6!$L$32</f>
        <v>3</v>
      </c>
      <c r="G45" s="147" t="e">
        <f>#REF!</f>
        <v>#REF!</v>
      </c>
      <c r="H45" s="147" t="e">
        <f>#REF!</f>
        <v>#REF!</v>
      </c>
      <c r="I45" s="147" t="e">
        <f>#REF!</f>
        <v>#REF!</v>
      </c>
      <c r="J45" s="147" t="e">
        <f>#REF!</f>
        <v>#REF!</v>
      </c>
      <c r="K45" s="147" t="e">
        <f>#REF!</f>
        <v>#REF!</v>
      </c>
      <c r="L45" s="147" t="e">
        <f>#REF!</f>
        <v>#REF!</v>
      </c>
      <c r="M45" s="147" t="e">
        <f>#REF!</f>
        <v>#REF!</v>
      </c>
      <c r="N45" s="147" t="e">
        <f>#REF!</f>
        <v>#REF!</v>
      </c>
      <c r="O45" s="147" t="e">
        <f>#REF!</f>
        <v>#REF!</v>
      </c>
      <c r="P45" s="147" t="e">
        <f>#REF!</f>
        <v>#REF!</v>
      </c>
      <c r="Q45" s="147" t="e">
        <f>#REF!</f>
        <v>#REF!</v>
      </c>
      <c r="R45" s="147" t="e">
        <f>#REF!</f>
        <v>#REF!</v>
      </c>
      <c r="S45" s="147" t="e">
        <f>#REF!</f>
        <v>#REF!</v>
      </c>
      <c r="T45" s="147" t="e">
        <f>#REF!</f>
        <v>#REF!</v>
      </c>
      <c r="U45" s="147" t="e">
        <f>#REF!</f>
        <v>#REF!</v>
      </c>
      <c r="V45" s="147" t="e">
        <f>#REF!</f>
        <v>#REF!</v>
      </c>
      <c r="W45" s="147" t="e">
        <f>#REF!</f>
        <v>#REF!</v>
      </c>
      <c r="X45" s="147" t="e">
        <f>#REF!</f>
        <v>#REF!</v>
      </c>
      <c r="Y45" s="147" t="e">
        <f>#REF!</f>
        <v>#REF!</v>
      </c>
      <c r="Z45" s="147" t="e">
        <f>#REF!</f>
        <v>#REF!</v>
      </c>
      <c r="AA45" t="s">
        <v>171</v>
      </c>
      <c r="AB45">
        <f>COUNT(A45:Z45)</f>
        <v>6</v>
      </c>
      <c r="AC45" s="147" t="e">
        <f>MIN(A45:Z45)</f>
        <v>#REF!</v>
      </c>
      <c r="AD45" s="147" t="e">
        <f>MAX(A45:Z45)</f>
        <v>#REF!</v>
      </c>
      <c r="AF45" s="147" t="e">
        <f>IF(AC45=AD45,"ANO","NE")</f>
        <v>#REF!</v>
      </c>
    </row>
    <row r="46" spans="1:32" ht="15.75" thickBot="1" x14ac:dyDescent="0.3">
      <c r="A46">
        <f>IFERROR(A45,"")</f>
        <v>3</v>
      </c>
      <c r="B46">
        <f t="shared" ref="B46" si="148">IFERROR(B45,"")</f>
        <v>3</v>
      </c>
      <c r="C46">
        <f t="shared" ref="C46" si="149">IFERROR(C45,"")</f>
        <v>3</v>
      </c>
      <c r="D46">
        <f t="shared" ref="D46" si="150">IFERROR(D45,"")</f>
        <v>3</v>
      </c>
      <c r="E46">
        <f t="shared" ref="E46" si="151">IFERROR(E45,"")</f>
        <v>3</v>
      </c>
      <c r="F46">
        <f t="shared" ref="F46" si="152">IFERROR(F45,"")</f>
        <v>3</v>
      </c>
      <c r="G46" t="str">
        <f t="shared" ref="G46" si="153">IFERROR(G45,"")</f>
        <v/>
      </c>
      <c r="H46" t="str">
        <f t="shared" ref="H46" si="154">IFERROR(H45,"")</f>
        <v/>
      </c>
      <c r="I46" t="str">
        <f t="shared" ref="I46" si="155">IFERROR(I45,"")</f>
        <v/>
      </c>
      <c r="J46" t="str">
        <f t="shared" ref="J46" si="156">IFERROR(J45,"")</f>
        <v/>
      </c>
      <c r="K46" t="str">
        <f t="shared" ref="K46" si="157">IFERROR(K45,"")</f>
        <v/>
      </c>
      <c r="L46" t="str">
        <f t="shared" ref="L46" si="158">IFERROR(L45,"")</f>
        <v/>
      </c>
      <c r="M46" t="str">
        <f t="shared" ref="M46:Z46" si="159">IFERROR(M45,"")</f>
        <v/>
      </c>
      <c r="N46" t="str">
        <f t="shared" si="159"/>
        <v/>
      </c>
      <c r="O46" t="str">
        <f t="shared" si="159"/>
        <v/>
      </c>
      <c r="P46" t="str">
        <f t="shared" si="159"/>
        <v/>
      </c>
      <c r="Q46" t="str">
        <f t="shared" si="159"/>
        <v/>
      </c>
      <c r="R46" t="str">
        <f t="shared" si="159"/>
        <v/>
      </c>
      <c r="S46" t="str">
        <f t="shared" si="159"/>
        <v/>
      </c>
      <c r="T46" t="str">
        <f t="shared" si="159"/>
        <v/>
      </c>
      <c r="U46" t="str">
        <f t="shared" si="159"/>
        <v/>
      </c>
      <c r="V46" t="str">
        <f t="shared" si="159"/>
        <v/>
      </c>
      <c r="W46" t="str">
        <f t="shared" si="159"/>
        <v/>
      </c>
      <c r="X46" t="str">
        <f t="shared" si="159"/>
        <v/>
      </c>
      <c r="Y46" t="str">
        <f t="shared" si="159"/>
        <v/>
      </c>
      <c r="Z46" t="str">
        <f t="shared" si="159"/>
        <v/>
      </c>
      <c r="AC46" s="147">
        <f>MIN(A46:Z46)</f>
        <v>3</v>
      </c>
      <c r="AD46" s="147">
        <f>MAX(A46:Z46)</f>
        <v>3</v>
      </c>
      <c r="AF46" s="148" t="str">
        <f>IF(AC46=AD46,"ANO","NE")</f>
        <v>ANO</v>
      </c>
    </row>
    <row r="47" spans="1:32" ht="5.25" customHeight="1" x14ac:dyDescent="0.25"/>
    <row r="48" spans="1:32" ht="15.75" thickBot="1" x14ac:dyDescent="0.3">
      <c r="A48" s="147">
        <f>KÚ_1!$L$34</f>
        <v>3</v>
      </c>
      <c r="B48" s="147">
        <f>KÚ_2!$L$34</f>
        <v>3</v>
      </c>
      <c r="C48" s="147">
        <f>KÚ_3!$L$34</f>
        <v>3</v>
      </c>
      <c r="D48" s="147">
        <f>KÚ_4!$L$34</f>
        <v>3</v>
      </c>
      <c r="E48" s="147">
        <f>KÚ_5!$L$34</f>
        <v>3</v>
      </c>
      <c r="F48" s="147">
        <f>KÚ_6!$L$34</f>
        <v>3</v>
      </c>
      <c r="G48" s="147" t="e">
        <f>#REF!</f>
        <v>#REF!</v>
      </c>
      <c r="H48" s="147" t="e">
        <f>#REF!</f>
        <v>#REF!</v>
      </c>
      <c r="I48" s="147" t="e">
        <f>#REF!</f>
        <v>#REF!</v>
      </c>
      <c r="J48" s="147" t="e">
        <f>#REF!</f>
        <v>#REF!</v>
      </c>
      <c r="K48" s="147" t="e">
        <f>#REF!</f>
        <v>#REF!</v>
      </c>
      <c r="L48" s="147" t="e">
        <f>#REF!</f>
        <v>#REF!</v>
      </c>
      <c r="M48" s="147" t="e">
        <f>#REF!</f>
        <v>#REF!</v>
      </c>
      <c r="N48" s="147" t="e">
        <f>#REF!</f>
        <v>#REF!</v>
      </c>
      <c r="O48" s="147" t="e">
        <f>#REF!</f>
        <v>#REF!</v>
      </c>
      <c r="P48" s="147" t="e">
        <f>#REF!</f>
        <v>#REF!</v>
      </c>
      <c r="Q48" s="147" t="e">
        <f>#REF!</f>
        <v>#REF!</v>
      </c>
      <c r="R48" s="147" t="e">
        <f>#REF!</f>
        <v>#REF!</v>
      </c>
      <c r="S48" s="147" t="e">
        <f>#REF!</f>
        <v>#REF!</v>
      </c>
      <c r="T48" s="147" t="e">
        <f>#REF!</f>
        <v>#REF!</v>
      </c>
      <c r="U48" s="147" t="e">
        <f>#REF!</f>
        <v>#REF!</v>
      </c>
      <c r="V48" s="147" t="e">
        <f>#REF!</f>
        <v>#REF!</v>
      </c>
      <c r="W48" s="147" t="e">
        <f>#REF!</f>
        <v>#REF!</v>
      </c>
      <c r="X48" s="147" t="e">
        <f>#REF!</f>
        <v>#REF!</v>
      </c>
      <c r="Y48" s="147" t="e">
        <f>#REF!</f>
        <v>#REF!</v>
      </c>
      <c r="Z48" s="147" t="e">
        <f>#REF!</f>
        <v>#REF!</v>
      </c>
      <c r="AA48" t="s">
        <v>172</v>
      </c>
      <c r="AB48">
        <f>COUNT(A48:Z48)</f>
        <v>6</v>
      </c>
      <c r="AC48" s="147" t="e">
        <f>MIN(A48:Z48)</f>
        <v>#REF!</v>
      </c>
      <c r="AD48" s="147" t="e">
        <f>MAX(A48:Z48)</f>
        <v>#REF!</v>
      </c>
      <c r="AF48" s="147" t="e">
        <f>IF(AC48=AD48,"ANO","NE")</f>
        <v>#REF!</v>
      </c>
    </row>
    <row r="49" spans="1:32" ht="15.75" thickBot="1" x14ac:dyDescent="0.3">
      <c r="A49">
        <f>IFERROR(A48,"")</f>
        <v>3</v>
      </c>
      <c r="B49">
        <f t="shared" ref="B49" si="160">IFERROR(B48,"")</f>
        <v>3</v>
      </c>
      <c r="C49">
        <f t="shared" ref="C49" si="161">IFERROR(C48,"")</f>
        <v>3</v>
      </c>
      <c r="D49">
        <f t="shared" ref="D49" si="162">IFERROR(D48,"")</f>
        <v>3</v>
      </c>
      <c r="E49">
        <f t="shared" ref="E49" si="163">IFERROR(E48,"")</f>
        <v>3</v>
      </c>
      <c r="F49">
        <f t="shared" ref="F49" si="164">IFERROR(F48,"")</f>
        <v>3</v>
      </c>
      <c r="G49" t="str">
        <f t="shared" ref="G49" si="165">IFERROR(G48,"")</f>
        <v/>
      </c>
      <c r="H49" t="str">
        <f t="shared" ref="H49" si="166">IFERROR(H48,"")</f>
        <v/>
      </c>
      <c r="I49" t="str">
        <f t="shared" ref="I49" si="167">IFERROR(I48,"")</f>
        <v/>
      </c>
      <c r="J49" t="str">
        <f t="shared" ref="J49" si="168">IFERROR(J48,"")</f>
        <v/>
      </c>
      <c r="K49" t="str">
        <f t="shared" ref="K49" si="169">IFERROR(K48,"")</f>
        <v/>
      </c>
      <c r="L49" t="str">
        <f t="shared" ref="L49" si="170">IFERROR(L48,"")</f>
        <v/>
      </c>
      <c r="M49" t="str">
        <f t="shared" ref="M49:Z49" si="171">IFERROR(M48,"")</f>
        <v/>
      </c>
      <c r="N49" t="str">
        <f t="shared" si="171"/>
        <v/>
      </c>
      <c r="O49" t="str">
        <f t="shared" si="171"/>
        <v/>
      </c>
      <c r="P49" t="str">
        <f t="shared" si="171"/>
        <v/>
      </c>
      <c r="Q49" t="str">
        <f t="shared" si="171"/>
        <v/>
      </c>
      <c r="R49" t="str">
        <f t="shared" si="171"/>
        <v/>
      </c>
      <c r="S49" t="str">
        <f t="shared" si="171"/>
        <v/>
      </c>
      <c r="T49" t="str">
        <f t="shared" si="171"/>
        <v/>
      </c>
      <c r="U49" t="str">
        <f t="shared" si="171"/>
        <v/>
      </c>
      <c r="V49" t="str">
        <f t="shared" si="171"/>
        <v/>
      </c>
      <c r="W49" t="str">
        <f t="shared" si="171"/>
        <v/>
      </c>
      <c r="X49" t="str">
        <f t="shared" si="171"/>
        <v/>
      </c>
      <c r="Y49" t="str">
        <f t="shared" si="171"/>
        <v/>
      </c>
      <c r="Z49" t="str">
        <f t="shared" si="171"/>
        <v/>
      </c>
      <c r="AC49" s="147">
        <f>MIN(A49:Z49)</f>
        <v>3</v>
      </c>
      <c r="AD49" s="147">
        <f>MAX(A49:Z49)</f>
        <v>3</v>
      </c>
      <c r="AF49" s="148" t="str">
        <f>IF(AC49=AD49,"ANO","NE")</f>
        <v>ANO</v>
      </c>
    </row>
    <row r="50" spans="1:32" ht="5.25" customHeight="1" x14ac:dyDescent="0.25"/>
    <row r="51" spans="1:32" ht="15.75" thickBot="1" x14ac:dyDescent="0.3">
      <c r="A51" s="147">
        <f>KÚ_1!$L$36</f>
        <v>3</v>
      </c>
      <c r="B51" s="147">
        <f>KÚ_2!$L$36</f>
        <v>3</v>
      </c>
      <c r="C51" s="147">
        <f>KÚ_3!$L$36</f>
        <v>3</v>
      </c>
      <c r="D51" s="147">
        <f>KÚ_4!$L$36</f>
        <v>3</v>
      </c>
      <c r="E51" s="147">
        <f>KÚ_5!$L$36</f>
        <v>3</v>
      </c>
      <c r="F51" s="147">
        <f>KÚ_6!$L$36</f>
        <v>3</v>
      </c>
      <c r="G51" s="147" t="e">
        <f>#REF!</f>
        <v>#REF!</v>
      </c>
      <c r="H51" s="147" t="e">
        <f>#REF!</f>
        <v>#REF!</v>
      </c>
      <c r="I51" s="147" t="e">
        <f>#REF!</f>
        <v>#REF!</v>
      </c>
      <c r="J51" s="147" t="e">
        <f>#REF!</f>
        <v>#REF!</v>
      </c>
      <c r="K51" s="147" t="e">
        <f>#REF!</f>
        <v>#REF!</v>
      </c>
      <c r="L51" s="147" t="e">
        <f>#REF!</f>
        <v>#REF!</v>
      </c>
      <c r="M51" s="147" t="e">
        <f>#REF!</f>
        <v>#REF!</v>
      </c>
      <c r="N51" s="147" t="e">
        <f>#REF!</f>
        <v>#REF!</v>
      </c>
      <c r="O51" s="147" t="e">
        <f>#REF!</f>
        <v>#REF!</v>
      </c>
      <c r="P51" s="147" t="e">
        <f>#REF!</f>
        <v>#REF!</v>
      </c>
      <c r="Q51" s="147" t="e">
        <f>#REF!</f>
        <v>#REF!</v>
      </c>
      <c r="R51" s="147" t="e">
        <f>#REF!</f>
        <v>#REF!</v>
      </c>
      <c r="S51" s="147" t="e">
        <f>#REF!</f>
        <v>#REF!</v>
      </c>
      <c r="T51" s="147" t="e">
        <f>#REF!</f>
        <v>#REF!</v>
      </c>
      <c r="U51" s="147" t="e">
        <f>#REF!</f>
        <v>#REF!</v>
      </c>
      <c r="V51" s="147" t="e">
        <f>#REF!</f>
        <v>#REF!</v>
      </c>
      <c r="W51" s="147" t="e">
        <f>#REF!</f>
        <v>#REF!</v>
      </c>
      <c r="X51" s="147" t="e">
        <f>#REF!</f>
        <v>#REF!</v>
      </c>
      <c r="Y51" s="147" t="e">
        <f>#REF!</f>
        <v>#REF!</v>
      </c>
      <c r="Z51" s="147" t="e">
        <f>#REF!</f>
        <v>#REF!</v>
      </c>
      <c r="AA51" t="s">
        <v>173</v>
      </c>
      <c r="AB51">
        <f>COUNT(A51:Z51)</f>
        <v>6</v>
      </c>
      <c r="AC51" s="147" t="e">
        <f>MIN(A51:Z51)</f>
        <v>#REF!</v>
      </c>
      <c r="AD51" s="147" t="e">
        <f>MAX(A51:Z51)</f>
        <v>#REF!</v>
      </c>
      <c r="AF51" s="147" t="e">
        <f>IF(AC51=AD51,"ANO","NE")</f>
        <v>#REF!</v>
      </c>
    </row>
    <row r="52" spans="1:32" ht="15.75" thickBot="1" x14ac:dyDescent="0.3">
      <c r="A52">
        <f>IFERROR(A51,"")</f>
        <v>3</v>
      </c>
      <c r="B52">
        <f t="shared" ref="B52" si="172">IFERROR(B51,"")</f>
        <v>3</v>
      </c>
      <c r="C52">
        <f t="shared" ref="C52" si="173">IFERROR(C51,"")</f>
        <v>3</v>
      </c>
      <c r="D52">
        <f t="shared" ref="D52" si="174">IFERROR(D51,"")</f>
        <v>3</v>
      </c>
      <c r="E52">
        <f t="shared" ref="E52" si="175">IFERROR(E51,"")</f>
        <v>3</v>
      </c>
      <c r="F52">
        <f t="shared" ref="F52" si="176">IFERROR(F51,"")</f>
        <v>3</v>
      </c>
      <c r="G52" t="str">
        <f t="shared" ref="G52" si="177">IFERROR(G51,"")</f>
        <v/>
      </c>
      <c r="H52" t="str">
        <f t="shared" ref="H52" si="178">IFERROR(H51,"")</f>
        <v/>
      </c>
      <c r="I52" t="str">
        <f t="shared" ref="I52" si="179">IFERROR(I51,"")</f>
        <v/>
      </c>
      <c r="J52" t="str">
        <f t="shared" ref="J52" si="180">IFERROR(J51,"")</f>
        <v/>
      </c>
      <c r="K52" t="str">
        <f t="shared" ref="K52" si="181">IFERROR(K51,"")</f>
        <v/>
      </c>
      <c r="L52" t="str">
        <f t="shared" ref="L52" si="182">IFERROR(L51,"")</f>
        <v/>
      </c>
      <c r="M52" t="str">
        <f t="shared" ref="M52:Z52" si="183">IFERROR(M51,"")</f>
        <v/>
      </c>
      <c r="N52" t="str">
        <f t="shared" si="183"/>
        <v/>
      </c>
      <c r="O52" t="str">
        <f t="shared" si="183"/>
        <v/>
      </c>
      <c r="P52" t="str">
        <f t="shared" si="183"/>
        <v/>
      </c>
      <c r="Q52" t="str">
        <f t="shared" si="183"/>
        <v/>
      </c>
      <c r="R52" t="str">
        <f t="shared" si="183"/>
        <v/>
      </c>
      <c r="S52" t="str">
        <f t="shared" si="183"/>
        <v/>
      </c>
      <c r="T52" t="str">
        <f t="shared" si="183"/>
        <v/>
      </c>
      <c r="U52" t="str">
        <f t="shared" si="183"/>
        <v/>
      </c>
      <c r="V52" t="str">
        <f t="shared" si="183"/>
        <v/>
      </c>
      <c r="W52" t="str">
        <f t="shared" si="183"/>
        <v/>
      </c>
      <c r="X52" t="str">
        <f t="shared" si="183"/>
        <v/>
      </c>
      <c r="Y52" t="str">
        <f t="shared" si="183"/>
        <v/>
      </c>
      <c r="Z52" t="str">
        <f t="shared" si="183"/>
        <v/>
      </c>
      <c r="AC52" s="147">
        <f>MIN(A52:Z52)</f>
        <v>3</v>
      </c>
      <c r="AD52" s="147">
        <f>MAX(A52:Z52)</f>
        <v>3</v>
      </c>
      <c r="AF52" s="148" t="str">
        <f>IF(AC52=AD52,"ANO","NE")</f>
        <v>ANO</v>
      </c>
    </row>
    <row r="53" spans="1:32" ht="5.25" customHeight="1" x14ac:dyDescent="0.25"/>
    <row r="54" spans="1:32" ht="15.75" thickBot="1" x14ac:dyDescent="0.3">
      <c r="A54" s="147">
        <f>KÚ_1!$L$38</f>
        <v>3</v>
      </c>
      <c r="B54" s="147">
        <f>KÚ_2!$L$38</f>
        <v>3</v>
      </c>
      <c r="C54" s="147">
        <f>KÚ_3!$L$38</f>
        <v>3</v>
      </c>
      <c r="D54" s="147">
        <f>KÚ_4!$L$38</f>
        <v>3</v>
      </c>
      <c r="E54" s="147">
        <f>KÚ_5!$L$38</f>
        <v>3</v>
      </c>
      <c r="F54" s="147">
        <f>KÚ_6!$L$38</f>
        <v>3</v>
      </c>
      <c r="G54" s="147" t="e">
        <f>#REF!</f>
        <v>#REF!</v>
      </c>
      <c r="H54" s="147" t="e">
        <f>#REF!</f>
        <v>#REF!</v>
      </c>
      <c r="I54" s="147" t="e">
        <f>#REF!</f>
        <v>#REF!</v>
      </c>
      <c r="J54" s="147" t="e">
        <f>#REF!</f>
        <v>#REF!</v>
      </c>
      <c r="K54" s="147" t="e">
        <f>#REF!</f>
        <v>#REF!</v>
      </c>
      <c r="L54" s="147" t="e">
        <f>#REF!</f>
        <v>#REF!</v>
      </c>
      <c r="M54" s="147" t="e">
        <f>#REF!</f>
        <v>#REF!</v>
      </c>
      <c r="N54" s="147" t="e">
        <f>#REF!</f>
        <v>#REF!</v>
      </c>
      <c r="O54" s="147" t="e">
        <f>#REF!</f>
        <v>#REF!</v>
      </c>
      <c r="P54" s="147" t="e">
        <f>#REF!</f>
        <v>#REF!</v>
      </c>
      <c r="Q54" s="147" t="e">
        <f>#REF!</f>
        <v>#REF!</v>
      </c>
      <c r="R54" s="147" t="e">
        <f>#REF!</f>
        <v>#REF!</v>
      </c>
      <c r="S54" s="147" t="e">
        <f>#REF!</f>
        <v>#REF!</v>
      </c>
      <c r="T54" s="147" t="e">
        <f>#REF!</f>
        <v>#REF!</v>
      </c>
      <c r="U54" s="147" t="e">
        <f>#REF!</f>
        <v>#REF!</v>
      </c>
      <c r="V54" s="147" t="e">
        <f>#REF!</f>
        <v>#REF!</v>
      </c>
      <c r="W54" s="147" t="e">
        <f>#REF!</f>
        <v>#REF!</v>
      </c>
      <c r="X54" s="147" t="e">
        <f>#REF!</f>
        <v>#REF!</v>
      </c>
      <c r="Y54" s="147" t="e">
        <f>#REF!</f>
        <v>#REF!</v>
      </c>
      <c r="Z54" s="147" t="e">
        <f>#REF!</f>
        <v>#REF!</v>
      </c>
      <c r="AA54" t="s">
        <v>174</v>
      </c>
      <c r="AB54">
        <f>COUNT(A54:Z54)</f>
        <v>6</v>
      </c>
      <c r="AC54" s="147" t="e">
        <f>MIN(A54:Z54)</f>
        <v>#REF!</v>
      </c>
      <c r="AD54" s="147" t="e">
        <f>MAX(A54:Z54)</f>
        <v>#REF!</v>
      </c>
      <c r="AF54" s="147" t="e">
        <f>IF(AC54=AD54,"ANO","NE")</f>
        <v>#REF!</v>
      </c>
    </row>
    <row r="55" spans="1:32" ht="15.75" thickBot="1" x14ac:dyDescent="0.3">
      <c r="A55">
        <f>IFERROR(A54,"")</f>
        <v>3</v>
      </c>
      <c r="B55">
        <f t="shared" ref="B55" si="184">IFERROR(B54,"")</f>
        <v>3</v>
      </c>
      <c r="C55">
        <f t="shared" ref="C55" si="185">IFERROR(C54,"")</f>
        <v>3</v>
      </c>
      <c r="D55">
        <f t="shared" ref="D55" si="186">IFERROR(D54,"")</f>
        <v>3</v>
      </c>
      <c r="E55">
        <f t="shared" ref="E55" si="187">IFERROR(E54,"")</f>
        <v>3</v>
      </c>
      <c r="F55">
        <f t="shared" ref="F55" si="188">IFERROR(F54,"")</f>
        <v>3</v>
      </c>
      <c r="G55" t="str">
        <f t="shared" ref="G55" si="189">IFERROR(G54,"")</f>
        <v/>
      </c>
      <c r="H55" t="str">
        <f t="shared" ref="H55" si="190">IFERROR(H54,"")</f>
        <v/>
      </c>
      <c r="I55" t="str">
        <f t="shared" ref="I55" si="191">IFERROR(I54,"")</f>
        <v/>
      </c>
      <c r="J55" t="str">
        <f t="shared" ref="J55" si="192">IFERROR(J54,"")</f>
        <v/>
      </c>
      <c r="K55" t="str">
        <f t="shared" ref="K55" si="193">IFERROR(K54,"")</f>
        <v/>
      </c>
      <c r="L55" t="str">
        <f t="shared" ref="L55" si="194">IFERROR(L54,"")</f>
        <v/>
      </c>
      <c r="M55" t="str">
        <f t="shared" ref="M55:Z55" si="195">IFERROR(M54,"")</f>
        <v/>
      </c>
      <c r="N55" t="str">
        <f t="shared" si="195"/>
        <v/>
      </c>
      <c r="O55" t="str">
        <f t="shared" si="195"/>
        <v/>
      </c>
      <c r="P55" t="str">
        <f t="shared" si="195"/>
        <v/>
      </c>
      <c r="Q55" t="str">
        <f t="shared" si="195"/>
        <v/>
      </c>
      <c r="R55" t="str">
        <f t="shared" si="195"/>
        <v/>
      </c>
      <c r="S55" t="str">
        <f t="shared" si="195"/>
        <v/>
      </c>
      <c r="T55" t="str">
        <f t="shared" si="195"/>
        <v/>
      </c>
      <c r="U55" t="str">
        <f t="shared" si="195"/>
        <v/>
      </c>
      <c r="V55" t="str">
        <f t="shared" si="195"/>
        <v/>
      </c>
      <c r="W55" t="str">
        <f t="shared" si="195"/>
        <v/>
      </c>
      <c r="X55" t="str">
        <f t="shared" si="195"/>
        <v/>
      </c>
      <c r="Y55" t="str">
        <f t="shared" si="195"/>
        <v/>
      </c>
      <c r="Z55" t="str">
        <f t="shared" si="195"/>
        <v/>
      </c>
      <c r="AC55" s="147">
        <f>MIN(A55:Z55)</f>
        <v>3</v>
      </c>
      <c r="AD55" s="147">
        <f>MAX(A55:Z55)</f>
        <v>3</v>
      </c>
      <c r="AF55" s="148" t="str">
        <f>IF(AC55=AD55,"ANO","NE")</f>
        <v>ANO</v>
      </c>
    </row>
    <row r="56" spans="1:32" ht="5.25" customHeight="1" x14ac:dyDescent="0.25"/>
    <row r="57" spans="1:32" ht="15.75" thickBot="1" x14ac:dyDescent="0.3">
      <c r="A57" s="147">
        <f>KÚ_1!$L$40</f>
        <v>0</v>
      </c>
      <c r="B57" s="147">
        <f>KÚ_2!$L$40</f>
        <v>0</v>
      </c>
      <c r="C57" s="147">
        <f>KÚ_3!$L$40</f>
        <v>0</v>
      </c>
      <c r="D57" s="147">
        <f>KÚ_4!$L$40</f>
        <v>0</v>
      </c>
      <c r="E57" s="147">
        <f>KÚ_5!$L$40</f>
        <v>0</v>
      </c>
      <c r="F57" s="147">
        <f>KÚ_6!$L$40</f>
        <v>0</v>
      </c>
      <c r="G57" s="147" t="e">
        <f>#REF!</f>
        <v>#REF!</v>
      </c>
      <c r="H57" s="147" t="e">
        <f>#REF!</f>
        <v>#REF!</v>
      </c>
      <c r="I57" s="147" t="e">
        <f>#REF!</f>
        <v>#REF!</v>
      </c>
      <c r="J57" s="147" t="e">
        <f>#REF!</f>
        <v>#REF!</v>
      </c>
      <c r="K57" s="147" t="e">
        <f>#REF!</f>
        <v>#REF!</v>
      </c>
      <c r="L57" s="147" t="e">
        <f>#REF!</f>
        <v>#REF!</v>
      </c>
      <c r="M57" s="147" t="e">
        <f>#REF!</f>
        <v>#REF!</v>
      </c>
      <c r="N57" s="147" t="e">
        <f>#REF!</f>
        <v>#REF!</v>
      </c>
      <c r="O57" s="147" t="e">
        <f>#REF!</f>
        <v>#REF!</v>
      </c>
      <c r="P57" s="147" t="e">
        <f>#REF!</f>
        <v>#REF!</v>
      </c>
      <c r="Q57" s="147" t="e">
        <f>#REF!</f>
        <v>#REF!</v>
      </c>
      <c r="R57" s="147" t="e">
        <f>#REF!</f>
        <v>#REF!</v>
      </c>
      <c r="S57" s="147" t="e">
        <f>#REF!</f>
        <v>#REF!</v>
      </c>
      <c r="T57" s="147" t="e">
        <f>#REF!</f>
        <v>#REF!</v>
      </c>
      <c r="U57" s="147" t="e">
        <f>#REF!</f>
        <v>#REF!</v>
      </c>
      <c r="V57" s="147" t="e">
        <f>#REF!</f>
        <v>#REF!</v>
      </c>
      <c r="W57" s="147" t="e">
        <f>#REF!</f>
        <v>#REF!</v>
      </c>
      <c r="X57" s="147" t="e">
        <f>#REF!</f>
        <v>#REF!</v>
      </c>
      <c r="Y57" s="147" t="e">
        <f>#REF!</f>
        <v>#REF!</v>
      </c>
      <c r="Z57" s="147" t="e">
        <f>#REF!</f>
        <v>#REF!</v>
      </c>
      <c r="AA57" t="s">
        <v>175</v>
      </c>
      <c r="AB57">
        <f>COUNT(A57:Z57)</f>
        <v>6</v>
      </c>
      <c r="AC57" s="147" t="e">
        <f>MIN(A57:Z57)</f>
        <v>#REF!</v>
      </c>
      <c r="AD57" s="147" t="e">
        <f>MAX(A57:Z57)</f>
        <v>#REF!</v>
      </c>
      <c r="AF57" s="147" t="e">
        <f>IF(AC57=AD57,"ANO","NE")</f>
        <v>#REF!</v>
      </c>
    </row>
    <row r="58" spans="1:32" ht="15.75" thickBot="1" x14ac:dyDescent="0.3">
      <c r="A58">
        <f>IFERROR(A57,"")</f>
        <v>0</v>
      </c>
      <c r="B58">
        <f t="shared" ref="B58" si="196">IFERROR(B57,"")</f>
        <v>0</v>
      </c>
      <c r="C58">
        <f t="shared" ref="C58" si="197">IFERROR(C57,"")</f>
        <v>0</v>
      </c>
      <c r="D58">
        <f t="shared" ref="D58" si="198">IFERROR(D57,"")</f>
        <v>0</v>
      </c>
      <c r="E58">
        <f t="shared" ref="E58" si="199">IFERROR(E57,"")</f>
        <v>0</v>
      </c>
      <c r="F58">
        <f t="shared" ref="F58" si="200">IFERROR(F57,"")</f>
        <v>0</v>
      </c>
      <c r="G58" t="str">
        <f t="shared" ref="G58" si="201">IFERROR(G57,"")</f>
        <v/>
      </c>
      <c r="H58" t="str">
        <f t="shared" ref="H58" si="202">IFERROR(H57,"")</f>
        <v/>
      </c>
      <c r="I58" t="str">
        <f t="shared" ref="I58" si="203">IFERROR(I57,"")</f>
        <v/>
      </c>
      <c r="J58" t="str">
        <f t="shared" ref="J58" si="204">IFERROR(J57,"")</f>
        <v/>
      </c>
      <c r="K58" t="str">
        <f t="shared" ref="K58" si="205">IFERROR(K57,"")</f>
        <v/>
      </c>
      <c r="L58" t="str">
        <f t="shared" ref="L58" si="206">IFERROR(L57,"")</f>
        <v/>
      </c>
      <c r="M58" t="str">
        <f t="shared" ref="M58:Z58" si="207">IFERROR(M57,"")</f>
        <v/>
      </c>
      <c r="N58" t="str">
        <f t="shared" si="207"/>
        <v/>
      </c>
      <c r="O58" t="str">
        <f t="shared" si="207"/>
        <v/>
      </c>
      <c r="P58" t="str">
        <f t="shared" si="207"/>
        <v/>
      </c>
      <c r="Q58" t="str">
        <f t="shared" si="207"/>
        <v/>
      </c>
      <c r="R58" t="str">
        <f t="shared" si="207"/>
        <v/>
      </c>
      <c r="S58" t="str">
        <f t="shared" si="207"/>
        <v/>
      </c>
      <c r="T58" t="str">
        <f t="shared" si="207"/>
        <v/>
      </c>
      <c r="U58" t="str">
        <f t="shared" si="207"/>
        <v/>
      </c>
      <c r="V58" t="str">
        <f t="shared" si="207"/>
        <v/>
      </c>
      <c r="W58" t="str">
        <f t="shared" si="207"/>
        <v/>
      </c>
      <c r="X58" t="str">
        <f t="shared" si="207"/>
        <v/>
      </c>
      <c r="Y58" t="str">
        <f t="shared" si="207"/>
        <v/>
      </c>
      <c r="Z58" t="str">
        <f t="shared" si="207"/>
        <v/>
      </c>
      <c r="AC58" s="147">
        <f>MIN(A58:Z58)</f>
        <v>0</v>
      </c>
      <c r="AD58" s="147">
        <f>MAX(A58:Z58)</f>
        <v>0</v>
      </c>
      <c r="AF58" s="148" t="str">
        <f>IF(AC58=AD58,"ANO","NE")</f>
        <v>ANO</v>
      </c>
    </row>
  </sheetData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039A5-43D9-49AE-85B2-A1CF6ECE0504}">
  <sheetPr codeName="List20">
    <pageSetUpPr fitToPage="1"/>
  </sheetPr>
  <dimension ref="A1:AA57"/>
  <sheetViews>
    <sheetView topLeftCell="A13" zoomScale="80" zoomScaleNormal="80" workbookViewId="0">
      <selection activeCell="L30" sqref="L30:L31"/>
    </sheetView>
  </sheetViews>
  <sheetFormatPr defaultRowHeight="15" x14ac:dyDescent="0.25"/>
  <cols>
    <col min="1" max="1" width="55.7109375" customWidth="1"/>
    <col min="2" max="2" width="17.28515625" customWidth="1"/>
    <col min="3" max="3" width="1.7109375" customWidth="1"/>
    <col min="4" max="6" width="10.7109375" customWidth="1"/>
    <col min="7" max="7" width="20" customWidth="1"/>
    <col min="8" max="8" width="1.7109375" customWidth="1"/>
    <col min="9" max="9" width="10.7109375" customWidth="1"/>
    <col min="10" max="10" width="13.7109375" customWidth="1"/>
    <col min="11" max="11" width="13.85546875" customWidth="1"/>
    <col min="12" max="12" width="13.42578125" customWidth="1"/>
    <col min="13" max="13" width="1.5703125" customWidth="1"/>
    <col min="14" max="14" width="24.28515625" customWidth="1"/>
    <col min="15" max="15" width="22.85546875" customWidth="1"/>
    <col min="16" max="16" width="3.5703125" customWidth="1"/>
    <col min="17" max="17" width="62.140625" customWidth="1"/>
  </cols>
  <sheetData>
    <row r="1" spans="1:24" ht="23.25" x14ac:dyDescent="0.25">
      <c r="A1" s="188" t="s">
        <v>14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3" spans="1:24" ht="18.75" x14ac:dyDescent="0.25">
      <c r="A3" s="189" t="s">
        <v>0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</row>
    <row r="4" spans="1:24" ht="15.75" thickBot="1" x14ac:dyDescent="0.3">
      <c r="R4" s="96"/>
      <c r="S4" s="96"/>
      <c r="T4" s="96"/>
      <c r="U4" s="96"/>
    </row>
    <row r="5" spans="1:24" ht="16.5" thickBot="1" x14ac:dyDescent="0.3">
      <c r="A5" s="71" t="s">
        <v>1</v>
      </c>
      <c r="B5" s="190" t="s">
        <v>108</v>
      </c>
      <c r="C5" s="191"/>
      <c r="D5" s="191"/>
      <c r="E5" s="191"/>
      <c r="F5" s="191"/>
      <c r="G5" s="192"/>
      <c r="H5" s="40"/>
      <c r="I5" s="40"/>
      <c r="J5" s="40"/>
      <c r="K5" s="40"/>
      <c r="L5" s="40"/>
      <c r="M5" s="40"/>
      <c r="N5" s="71" t="s">
        <v>3</v>
      </c>
      <c r="O5" s="72">
        <f>VLOOKUP(B5,'OBCE, počet obyvatel'!C3:D1591,2,FALSE)</f>
        <v>5095</v>
      </c>
      <c r="R5" s="96"/>
      <c r="S5" s="96"/>
      <c r="T5" s="96"/>
      <c r="U5" s="96"/>
    </row>
    <row r="6" spans="1:24" ht="5.0999999999999996" customHeight="1" thickBot="1" x14ac:dyDescent="0.3">
      <c r="A6" s="71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73"/>
      <c r="O6" s="74"/>
      <c r="R6" s="96"/>
      <c r="S6" s="96"/>
      <c r="T6" s="96"/>
      <c r="U6" s="96"/>
    </row>
    <row r="7" spans="1:24" ht="16.5" thickBot="1" x14ac:dyDescent="0.3">
      <c r="A7" s="71" t="s">
        <v>2</v>
      </c>
      <c r="B7" s="218" t="s">
        <v>112</v>
      </c>
      <c r="C7" s="219"/>
      <c r="D7" s="219"/>
      <c r="E7" s="219"/>
      <c r="F7" s="219"/>
      <c r="G7" s="220"/>
      <c r="H7" s="40"/>
      <c r="I7" s="40"/>
      <c r="J7" s="99" t="str">
        <f>IF(OR(ISBLANK($J$16),$J$16="žádný"),0,$J$16)</f>
        <v>2</v>
      </c>
      <c r="K7" s="99">
        <f>IF(OR(ISBLANK($K$16),$K$16="žádný"),0,$K$16)</f>
        <v>0</v>
      </c>
      <c r="L7" s="40"/>
      <c r="M7" s="40"/>
      <c r="N7" s="73"/>
      <c r="O7" s="40"/>
      <c r="R7" s="96"/>
      <c r="S7" s="37"/>
      <c r="T7" s="37"/>
      <c r="U7" s="37"/>
      <c r="V7" s="37"/>
      <c r="W7" s="37"/>
      <c r="X7" s="37"/>
    </row>
    <row r="8" spans="1:24" x14ac:dyDescent="0.25">
      <c r="R8" s="96"/>
      <c r="S8" s="37"/>
      <c r="T8" s="37"/>
      <c r="U8" s="37"/>
      <c r="V8" s="37"/>
      <c r="W8" s="37"/>
      <c r="X8" s="37"/>
    </row>
    <row r="9" spans="1:24" ht="18.75" x14ac:dyDescent="0.25">
      <c r="A9" s="189" t="s">
        <v>82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R9" s="96"/>
      <c r="S9" s="37"/>
      <c r="T9" s="37"/>
      <c r="U9" s="37"/>
      <c r="V9" s="37"/>
      <c r="W9" s="37"/>
      <c r="X9" s="37"/>
    </row>
    <row r="10" spans="1:24" ht="5.0999999999999996" customHeight="1" thickBot="1" x14ac:dyDescent="0.3">
      <c r="R10" s="96"/>
      <c r="S10" s="37"/>
      <c r="T10" s="37"/>
      <c r="U10" s="37"/>
      <c r="V10" s="37"/>
      <c r="W10" s="37"/>
      <c r="X10" s="37"/>
    </row>
    <row r="11" spans="1:24" ht="26.25" customHeight="1" x14ac:dyDescent="0.25">
      <c r="A11" s="203" t="s">
        <v>81</v>
      </c>
      <c r="B11" s="206" t="s">
        <v>87</v>
      </c>
      <c r="D11" s="209" t="str">
        <f>Koef!B3</f>
        <v>Zdaňovací období roku 2024</v>
      </c>
      <c r="E11" s="210"/>
      <c r="F11" s="210"/>
      <c r="G11" s="211"/>
      <c r="I11" s="200" t="s">
        <v>77</v>
      </c>
      <c r="J11" s="201"/>
      <c r="K11" s="201"/>
      <c r="L11" s="201"/>
      <c r="M11" s="201"/>
      <c r="N11" s="201"/>
      <c r="O11" s="202"/>
      <c r="R11" s="96"/>
      <c r="S11" s="37"/>
      <c r="T11" s="37"/>
      <c r="U11" s="37"/>
      <c r="V11" s="37"/>
      <c r="W11" s="37"/>
      <c r="X11" s="37"/>
    </row>
    <row r="12" spans="1:24" ht="26.25" customHeight="1" thickBot="1" x14ac:dyDescent="0.3">
      <c r="A12" s="204"/>
      <c r="B12" s="207"/>
      <c r="D12" s="212"/>
      <c r="E12" s="213"/>
      <c r="F12" s="213"/>
      <c r="G12" s="214"/>
      <c r="I12" s="197" t="s">
        <v>72</v>
      </c>
      <c r="J12" s="198"/>
      <c r="K12" s="198"/>
      <c r="L12" s="198"/>
      <c r="M12" s="198"/>
      <c r="N12" s="198"/>
      <c r="O12" s="199"/>
      <c r="R12" s="96"/>
      <c r="S12" s="37"/>
      <c r="T12" s="37"/>
      <c r="U12" s="37"/>
      <c r="V12" s="37"/>
      <c r="W12" s="37"/>
      <c r="X12" s="37"/>
    </row>
    <row r="13" spans="1:24" ht="26.25" customHeight="1" x14ac:dyDescent="0.25">
      <c r="A13" s="204"/>
      <c r="B13" s="207"/>
      <c r="D13" s="212"/>
      <c r="E13" s="213"/>
      <c r="F13" s="213"/>
      <c r="G13" s="214"/>
      <c r="I13" s="177" t="s">
        <v>85</v>
      </c>
      <c r="J13" s="178"/>
      <c r="K13" s="178"/>
      <c r="L13" s="70">
        <v>1</v>
      </c>
      <c r="M13" s="174"/>
      <c r="N13" s="177" t="s">
        <v>4</v>
      </c>
      <c r="O13" s="206" t="s">
        <v>17</v>
      </c>
      <c r="R13" s="96" t="str">
        <f>IF(ISBLANK(R11),"",R11)</f>
        <v/>
      </c>
      <c r="S13" s="37"/>
      <c r="T13" s="37"/>
      <c r="U13" s="37"/>
      <c r="V13" s="37"/>
      <c r="W13" s="37"/>
      <c r="X13" s="37"/>
    </row>
    <row r="14" spans="1:24" ht="26.25" customHeight="1" thickBot="1" x14ac:dyDescent="0.3">
      <c r="A14" s="204"/>
      <c r="B14" s="207"/>
      <c r="D14" s="215"/>
      <c r="E14" s="216"/>
      <c r="F14" s="216"/>
      <c r="G14" s="217"/>
      <c r="I14" s="194" t="s">
        <v>84</v>
      </c>
      <c r="J14" s="195"/>
      <c r="K14" s="195"/>
      <c r="L14" s="196"/>
      <c r="M14" s="175"/>
      <c r="N14" s="194"/>
      <c r="O14" s="196"/>
      <c r="R14" s="37"/>
      <c r="S14" s="37"/>
      <c r="T14" s="37"/>
      <c r="U14" s="37"/>
      <c r="V14" s="37"/>
      <c r="W14" s="37"/>
      <c r="X14" s="37"/>
    </row>
    <row r="15" spans="1:24" ht="58.5" customHeight="1" thickTop="1" x14ac:dyDescent="0.25">
      <c r="A15" s="204"/>
      <c r="B15" s="207"/>
      <c r="D15" s="238" t="s">
        <v>69</v>
      </c>
      <c r="E15" s="239"/>
      <c r="F15" s="240"/>
      <c r="G15" s="241" t="s">
        <v>4</v>
      </c>
      <c r="I15" s="221" t="s">
        <v>80</v>
      </c>
      <c r="J15" s="87" t="s">
        <v>96</v>
      </c>
      <c r="K15" s="88" t="s">
        <v>78</v>
      </c>
      <c r="L15" s="170" t="s">
        <v>79</v>
      </c>
      <c r="M15" s="175"/>
      <c r="N15" s="194"/>
      <c r="O15" s="196"/>
      <c r="R15" s="37"/>
      <c r="S15" s="37"/>
      <c r="T15" s="37"/>
      <c r="U15" s="37"/>
      <c r="V15" s="37"/>
      <c r="W15" s="37"/>
      <c r="X15" s="37"/>
    </row>
    <row r="16" spans="1:24" ht="45" customHeight="1" thickBot="1" x14ac:dyDescent="0.3">
      <c r="A16" s="205"/>
      <c r="B16" s="208"/>
      <c r="D16" s="80" t="s">
        <v>80</v>
      </c>
      <c r="E16" s="89">
        <v>1.5</v>
      </c>
      <c r="F16" s="90" t="s">
        <v>96</v>
      </c>
      <c r="G16" s="242"/>
      <c r="I16" s="222"/>
      <c r="J16" s="118" t="s">
        <v>124</v>
      </c>
      <c r="K16" s="119" t="s">
        <v>97</v>
      </c>
      <c r="L16" s="171"/>
      <c r="M16" s="175"/>
      <c r="N16" s="179"/>
      <c r="O16" s="223"/>
      <c r="P16" s="95" t="str">
        <f>IF(HELP!AF4="ANO","","!!!")</f>
        <v/>
      </c>
      <c r="Q16" s="94" t="str">
        <f>IF(HELP!AF4="ANO","","POZOR! Koeficient pro OBEC musí být na všech KÚ shodný!")</f>
        <v/>
      </c>
      <c r="R16" s="96"/>
      <c r="S16" s="96"/>
      <c r="T16" s="117" t="str">
        <f>IF(VLOOKUP($B$7,Všechny_obce_koeficienty!$D$2:$U$1045,18,FALSE)="",1,VLOOKUP($B$7,Všechny_obce_koeficienty!$D$2:$U$1045,18,FALSE))</f>
        <v>2</v>
      </c>
      <c r="U16" s="96" t="s">
        <v>97</v>
      </c>
      <c r="V16" s="37"/>
      <c r="W16" s="37"/>
      <c r="X16" s="37"/>
    </row>
    <row r="17" spans="1:27" ht="15" customHeight="1" thickTop="1" x14ac:dyDescent="0.25">
      <c r="A17" s="36" t="s">
        <v>6</v>
      </c>
      <c r="B17" s="39">
        <f>VLOOKUP(B7,Všechny_obce_koeficienty!D2:U6,2,FALSE)*0.0135</f>
        <v>3.7529999999999994E-2</v>
      </c>
      <c r="C17" s="40"/>
      <c r="D17" s="41" t="s">
        <v>16</v>
      </c>
      <c r="E17" s="42" t="s">
        <v>16</v>
      </c>
      <c r="F17" s="43">
        <v>1</v>
      </c>
      <c r="G17" s="128">
        <f>VLOOKUP($B$7,Obce_vynos!B3:AB1045,2,FALSE)</f>
        <v>17466</v>
      </c>
      <c r="H17" s="40"/>
      <c r="I17" s="41" t="s">
        <v>16</v>
      </c>
      <c r="J17" s="166">
        <v>1</v>
      </c>
      <c r="K17" s="167"/>
      <c r="L17" s="121"/>
      <c r="M17" s="176"/>
      <c r="N17" s="106">
        <f>IF(L17="",G17/F17*J17,G17/F17*L17)</f>
        <v>17466</v>
      </c>
      <c r="O17" s="107">
        <f t="shared" ref="O17:O26" si="0">N17-G17</f>
        <v>0</v>
      </c>
      <c r="P17" s="95" t="str">
        <f>IF(HELP!AF7="ANO","","!!!")</f>
        <v/>
      </c>
      <c r="Q17" s="94" t="str">
        <f>IF(HELP!AF7="ANO","","POZOR! Koeficient pro skupinu NV musí být na všech KÚ shodný!")</f>
        <v/>
      </c>
      <c r="R17" s="136"/>
      <c r="S17" s="136"/>
      <c r="T17" s="96"/>
      <c r="U17" s="96"/>
      <c r="V17" s="37"/>
      <c r="W17" s="37"/>
      <c r="X17" s="37"/>
    </row>
    <row r="18" spans="1:27" ht="15" customHeight="1" x14ac:dyDescent="0.25">
      <c r="A18" s="5" t="s">
        <v>5</v>
      </c>
      <c r="B18" s="44">
        <f>VLOOKUP(B7,Všechny_obce_koeficienty!D2:U6,2,FALSE)*0.0045</f>
        <v>1.2509999999999999E-2</v>
      </c>
      <c r="C18" s="40"/>
      <c r="D18" s="129" t="s">
        <v>16</v>
      </c>
      <c r="E18" s="45" t="s">
        <v>16</v>
      </c>
      <c r="F18" s="131">
        <v>1</v>
      </c>
      <c r="G18" s="126">
        <f>VLOOKUP($B$7,Obce_vynos!B3:AB1045,3,FALSE)</f>
        <v>14575</v>
      </c>
      <c r="H18" s="40"/>
      <c r="I18" s="129" t="s">
        <v>16</v>
      </c>
      <c r="J18" s="168">
        <v>1</v>
      </c>
      <c r="K18" s="169"/>
      <c r="L18" s="122"/>
      <c r="M18" s="176"/>
      <c r="N18" s="108">
        <f>IF(L18="",G18/F18*J18,G18/F18*L18)</f>
        <v>14575</v>
      </c>
      <c r="O18" s="133">
        <f t="shared" si="0"/>
        <v>0</v>
      </c>
      <c r="P18" s="95" t="str">
        <f>IF(HELP!AF10="ANO","","!!!")</f>
        <v/>
      </c>
      <c r="Q18" s="94" t="str">
        <f>IF(HELP!AF10="ANO","","POZOR! Koeficient pro skupinu NV musí být na všech KÚ shodný!")</f>
        <v/>
      </c>
      <c r="R18" s="96"/>
      <c r="S18" s="96"/>
      <c r="T18" s="96"/>
      <c r="U18" s="96"/>
      <c r="V18" s="37"/>
      <c r="W18" s="37"/>
      <c r="X18" s="37"/>
    </row>
    <row r="19" spans="1:27" ht="15" customHeight="1" x14ac:dyDescent="0.25">
      <c r="A19" s="5" t="s">
        <v>68</v>
      </c>
      <c r="B19" s="46">
        <v>0.08</v>
      </c>
      <c r="C19" s="40"/>
      <c r="D19" s="129" t="s">
        <v>16</v>
      </c>
      <c r="E19" s="45" t="s">
        <v>16</v>
      </c>
      <c r="F19" s="131">
        <v>1</v>
      </c>
      <c r="G19" s="126">
        <f>VLOOKUP($B$7,Obce_vynos!B3:AB1045,23,FALSE)</f>
        <v>3406</v>
      </c>
      <c r="H19" s="40"/>
      <c r="I19" s="129" t="s">
        <v>16</v>
      </c>
      <c r="J19" s="168">
        <v>1</v>
      </c>
      <c r="K19" s="169"/>
      <c r="L19" s="122"/>
      <c r="M19" s="176"/>
      <c r="N19" s="108">
        <f>IF(L19="",G19/F19*J19,G19/F19*L19)</f>
        <v>3406</v>
      </c>
      <c r="O19" s="133">
        <f t="shared" si="0"/>
        <v>0</v>
      </c>
      <c r="P19" s="95" t="str">
        <f>IF(HELP!AF13="ANO","","!!!")</f>
        <v/>
      </c>
      <c r="Q19" s="94" t="str">
        <f>IF(HELP!AF13="ANO","","POZOR! Koeficient pro skupinu NV musí být na všech KÚ shodný!")</f>
        <v/>
      </c>
      <c r="R19" s="96"/>
      <c r="S19" s="96"/>
      <c r="T19" s="96"/>
      <c r="U19" s="96"/>
      <c r="V19" s="37"/>
      <c r="W19" s="37"/>
      <c r="X19" s="37"/>
    </row>
    <row r="20" spans="1:27" ht="15" customHeight="1" x14ac:dyDescent="0.25">
      <c r="A20" s="5" t="s">
        <v>7</v>
      </c>
      <c r="B20" s="47">
        <f>3.8*0.0045</f>
        <v>1.7099999999999997E-2</v>
      </c>
      <c r="C20" s="40"/>
      <c r="D20" s="48" t="s">
        <v>16</v>
      </c>
      <c r="E20" s="45" t="s">
        <v>16</v>
      </c>
      <c r="F20" s="131" t="str">
        <f>IF(VLOOKUP($B$7,Všechny_obce_koeficienty!$D$2:$U$1045,18,FALSE)="","1,0",VLOOKUP($B$7,Všechny_obce_koeficienty!$D$2:$U$1045,18,FALSE))</f>
        <v>2</v>
      </c>
      <c r="G20" s="126">
        <f>VLOOKUP($B$7,Obce_vynos!B3:AB1045,4,FALSE)</f>
        <v>1358</v>
      </c>
      <c r="H20" s="40"/>
      <c r="I20" s="129" t="s">
        <v>16</v>
      </c>
      <c r="J20" s="131" t="str">
        <f>IF(OR(ISBLANK($J$16),$J$16="žádný"),"",$J$16)</f>
        <v>2</v>
      </c>
      <c r="K20" s="131" t="str">
        <f>IF(OR(ISBLANK($K$16),$K$16="žádný"),"",$K$16)</f>
        <v/>
      </c>
      <c r="L20" s="123"/>
      <c r="M20" s="176"/>
      <c r="N20" s="108">
        <f>IF(R20=0,G20/F20,G20/F20*R20)*$L$13</f>
        <v>1358</v>
      </c>
      <c r="O20" s="133">
        <f t="shared" si="0"/>
        <v>0</v>
      </c>
      <c r="P20" s="95" t="str">
        <f>IF(HELP!AF16="ANO","","!!!")</f>
        <v/>
      </c>
      <c r="Q20" s="94" t="str">
        <f>IF(HELP!AF16="ANO","","POZOR! Koeficient pro skupinu NV musí být na všech KÚ shodný!")</f>
        <v/>
      </c>
      <c r="R20" s="135" t="str">
        <f>IF(IF(L20&gt;=$K$7,L20,IF(L20="",$K$7,IF($K$7="",$J$7,$K$7)))=0,$J$7,IF(L20&gt;=$K$7,L20,IF(L20="",$K$7,IF($K$7="",$J$7,$K$7))))</f>
        <v>2</v>
      </c>
      <c r="S20" s="96"/>
      <c r="T20" s="96"/>
      <c r="U20" s="96"/>
      <c r="V20" s="37"/>
      <c r="W20" s="37"/>
      <c r="X20" s="37"/>
    </row>
    <row r="21" spans="1:27" ht="15" customHeight="1" x14ac:dyDescent="0.25">
      <c r="A21" s="5" t="s">
        <v>8</v>
      </c>
      <c r="B21" s="46">
        <v>0.35</v>
      </c>
      <c r="C21" s="40"/>
      <c r="D21" s="48" t="s">
        <v>16</v>
      </c>
      <c r="E21" s="45" t="s">
        <v>16</v>
      </c>
      <c r="F21" s="131" t="str">
        <f>IF(VLOOKUP($B$7,Všechny_obce_koeficienty!$D$2:$U$1045,18,FALSE)="","1,0",VLOOKUP($B$7,Všechny_obce_koeficienty!$D$2:$U$1045,18,FALSE))</f>
        <v>2</v>
      </c>
      <c r="G21" s="126">
        <f>VLOOKUP($B$7,Obce_vynos!B3:AB1045,5,FALSE)</f>
        <v>26266</v>
      </c>
      <c r="H21" s="40"/>
      <c r="I21" s="129" t="s">
        <v>16</v>
      </c>
      <c r="J21" s="131" t="str">
        <f t="shared" ref="J21:J40" si="1">IF(OR(ISBLANK($J$16),$J$16="žádný"),"",$J$16)</f>
        <v>2</v>
      </c>
      <c r="K21" s="131" t="str">
        <f t="shared" ref="K21:K40" si="2">IF(OR(ISBLANK($K$16),$K$16="žádný"),"",$K$16)</f>
        <v/>
      </c>
      <c r="L21" s="134"/>
      <c r="M21" s="176"/>
      <c r="N21" s="108">
        <f>IF(R21=0,G21/F21,G21/F21*R21)*$L$13</f>
        <v>26266</v>
      </c>
      <c r="O21" s="133">
        <f t="shared" si="0"/>
        <v>0</v>
      </c>
      <c r="P21" s="95" t="str">
        <f>IF(HELP!AF19="ANO","","!!!")</f>
        <v/>
      </c>
      <c r="Q21" s="94" t="str">
        <f>IF(HELP!AF19="ANO","","POZOR! Koeficient pro skupinu NV musí být na všech KÚ shodný!")</f>
        <v/>
      </c>
      <c r="R21" s="135" t="str">
        <f t="shared" ref="R21:R40" si="3">IF(IF(L21&gt;=$K$7,L21,IF(L21="",$K$7,IF($K$7="",$J$7,$K$7)))=0,$J$7,IF(L21&gt;=$K$7,L21,IF(L21="",$K$7,IF($K$7="",$J$7,$K$7))))</f>
        <v>2</v>
      </c>
      <c r="S21" s="96"/>
      <c r="T21" s="96"/>
      <c r="U21" s="96"/>
      <c r="V21" s="37"/>
      <c r="W21" s="37"/>
      <c r="X21" s="37"/>
    </row>
    <row r="22" spans="1:27" ht="15" customHeight="1" x14ac:dyDescent="0.25">
      <c r="A22" s="5" t="s">
        <v>9</v>
      </c>
      <c r="B22" s="46">
        <v>3.5</v>
      </c>
      <c r="C22" s="40"/>
      <c r="D22" s="130">
        <f>IF(VLOOKUP($B$7,Všechny_obce_koeficienty!$D$2:$U$1045,3,FALSE)="",1,VLOOKUP($B$7,Všechny_obce_koeficienty!$D$2:$U$1045,3,FALSE))</f>
        <v>1.4</v>
      </c>
      <c r="E22" s="45" t="s">
        <v>16</v>
      </c>
      <c r="F22" s="131" t="str">
        <f>IF(VLOOKUP($B$7,Všechny_obce_koeficienty!$D$2:$U$1045,18,FALSE)="","1,0",VLOOKUP($B$7,Všechny_obce_koeficienty!$D$2:$U$1045,18,FALSE))</f>
        <v>2</v>
      </c>
      <c r="G22" s="126">
        <f>VLOOKUP($B$7,Obce_vynos!B3:AB1045,6,FALSE)</f>
        <v>276</v>
      </c>
      <c r="H22" s="40"/>
      <c r="I22" s="120">
        <v>1.4</v>
      </c>
      <c r="J22" s="131" t="str">
        <f t="shared" si="1"/>
        <v>2</v>
      </c>
      <c r="K22" s="131" t="str">
        <f t="shared" si="2"/>
        <v/>
      </c>
      <c r="L22" s="134"/>
      <c r="M22" s="176"/>
      <c r="N22" s="108">
        <f>IF(R22=0,G22/D22*I22/F22,G22/D22*I22/F22*R22)*$L$13</f>
        <v>276</v>
      </c>
      <c r="O22" s="133">
        <f t="shared" si="0"/>
        <v>0</v>
      </c>
      <c r="P22" s="95" t="str">
        <f>IF(HELP!AF22="ANO","","!!!")</f>
        <v/>
      </c>
      <c r="Q22" s="94" t="str">
        <f>IF(HELP!AF22="ANO","","POZOR! Koeficient pro skupinu NV musí být na všech KÚ shodný!")</f>
        <v/>
      </c>
      <c r="R22" s="135" t="str">
        <f t="shared" si="3"/>
        <v>2</v>
      </c>
      <c r="S22" s="117">
        <f>IF(O5&lt;=1000,Koef!I11,IF(O5&lt;=6000,Koef!J12,IF(O5&lt;=10000,Koef!K13,IF(O5&lt;=25000,Koef!L14,IF(O5&lt;=50000,Koef!L15,Koef!L16)))))</f>
        <v>1.4</v>
      </c>
      <c r="T22" s="117">
        <f>IF(S22&gt;=D22,S22,D22)</f>
        <v>1.4</v>
      </c>
      <c r="U22" s="96"/>
      <c r="V22" s="37"/>
      <c r="W22" s="37"/>
      <c r="X22" s="37"/>
    </row>
    <row r="23" spans="1:27" ht="15" customHeight="1" x14ac:dyDescent="0.25">
      <c r="A23" s="5" t="s">
        <v>10</v>
      </c>
      <c r="B23" s="46">
        <v>0.35</v>
      </c>
      <c r="C23" s="40"/>
      <c r="D23" s="48" t="s">
        <v>16</v>
      </c>
      <c r="E23" s="45" t="s">
        <v>16</v>
      </c>
      <c r="F23" s="131" t="str">
        <f>IF(VLOOKUP($B$7,Všechny_obce_koeficienty!$D$2:$U$1045,18,FALSE)="","1,0",VLOOKUP($B$7,Všechny_obce_koeficienty!$D$2:$U$1045,18,FALSE))</f>
        <v>2</v>
      </c>
      <c r="G23" s="126">
        <f>VLOOKUP($B$7,Obce_vynos!B3:AB1045,7,FALSE)</f>
        <v>148363</v>
      </c>
      <c r="H23" s="40"/>
      <c r="I23" s="129" t="s">
        <v>16</v>
      </c>
      <c r="J23" s="131" t="str">
        <f t="shared" si="1"/>
        <v>2</v>
      </c>
      <c r="K23" s="131" t="str">
        <f t="shared" si="2"/>
        <v/>
      </c>
      <c r="L23" s="134"/>
      <c r="M23" s="176"/>
      <c r="N23" s="108">
        <f>IF(R23=0,G23/F23,G23/F23*R23)*$L$13</f>
        <v>148363</v>
      </c>
      <c r="O23" s="133">
        <f t="shared" si="0"/>
        <v>0</v>
      </c>
      <c r="P23" s="95" t="str">
        <f>IF(HELP!AF25="ANO","","!!!")</f>
        <v/>
      </c>
      <c r="Q23" s="94" t="str">
        <f>IF(HELP!AF25="ANO","","POZOR! Koeficient pro skupinu NV musí být na všech KÚ shodný!")</f>
        <v/>
      </c>
      <c r="R23" s="135" t="str">
        <f t="shared" si="3"/>
        <v>2</v>
      </c>
      <c r="S23" s="96"/>
      <c r="T23" s="117"/>
      <c r="U23" s="96"/>
      <c r="V23" s="37"/>
      <c r="W23" s="37"/>
      <c r="X23" s="37"/>
    </row>
    <row r="24" spans="1:27" ht="15" customHeight="1" x14ac:dyDescent="0.25">
      <c r="A24" s="5" t="s">
        <v>67</v>
      </c>
      <c r="B24" s="46">
        <v>0.35</v>
      </c>
      <c r="C24" s="40"/>
      <c r="D24" s="48" t="s">
        <v>16</v>
      </c>
      <c r="E24" s="45" t="s">
        <v>16</v>
      </c>
      <c r="F24" s="131" t="str">
        <f>IF(VLOOKUP($B$7,Všechny_obce_koeficienty!$D$2:$U$1045,18,FALSE)="","1,0",VLOOKUP($B$7,Všechny_obce_koeficienty!$D$2:$U$1045,18,FALSE))</f>
        <v>2</v>
      </c>
      <c r="G24" s="126">
        <f>VLOOKUP($B$7,Obce_vynos!B3:AB1045,17,FALSE)</f>
        <v>54178</v>
      </c>
      <c r="H24" s="40"/>
      <c r="I24" s="129" t="s">
        <v>16</v>
      </c>
      <c r="J24" s="131" t="str">
        <f t="shared" si="1"/>
        <v>2</v>
      </c>
      <c r="K24" s="131" t="str">
        <f t="shared" si="2"/>
        <v/>
      </c>
      <c r="L24" s="134"/>
      <c r="M24" s="176"/>
      <c r="N24" s="108">
        <f>IF(R24=0,G24/F24,G24/F24*R24)*$L$13</f>
        <v>54178</v>
      </c>
      <c r="O24" s="133">
        <f t="shared" si="0"/>
        <v>0</v>
      </c>
      <c r="P24" s="95" t="str">
        <f>IF(HELP!AF28="ANO","","!!!")</f>
        <v/>
      </c>
      <c r="Q24" s="94" t="str">
        <f>IF(HELP!AF28="ANO","","POZOR! Koeficient pro skupinu NV musí být na všech KÚ shodný!")</f>
        <v/>
      </c>
      <c r="R24" s="135" t="str">
        <f t="shared" si="3"/>
        <v>2</v>
      </c>
      <c r="S24" s="96"/>
      <c r="T24" s="117"/>
      <c r="U24" s="96"/>
      <c r="V24" s="37"/>
      <c r="W24" s="37"/>
      <c r="X24" s="37"/>
    </row>
    <row r="25" spans="1:27" ht="15" customHeight="1" x14ac:dyDescent="0.25">
      <c r="A25" s="5" t="s">
        <v>19</v>
      </c>
      <c r="B25" s="46">
        <v>1.8</v>
      </c>
      <c r="C25" s="40"/>
      <c r="D25" s="48" t="s">
        <v>16</v>
      </c>
      <c r="E25" s="45" t="s">
        <v>16</v>
      </c>
      <c r="F25" s="131" t="str">
        <f>IF(VLOOKUP($B$7,Všechny_obce_koeficienty!$D$2:$U$1045,18,FALSE)="","1,0",VLOOKUP($B$7,Všechny_obce_koeficienty!$D$2:$U$1045,18,FALSE))</f>
        <v>2</v>
      </c>
      <c r="G25" s="126">
        <f>VLOOKUP($B$7,Obce_vynos!B3:AB1045,24,FALSE)</f>
        <v>0</v>
      </c>
      <c r="H25" s="40"/>
      <c r="I25" s="129" t="s">
        <v>16</v>
      </c>
      <c r="J25" s="131" t="str">
        <f t="shared" si="1"/>
        <v>2</v>
      </c>
      <c r="K25" s="131" t="str">
        <f t="shared" si="2"/>
        <v/>
      </c>
      <c r="L25" s="134"/>
      <c r="M25" s="176"/>
      <c r="N25" s="108">
        <f>IF(R25=0,G25/F25,G25/F25*R25)*$L$13</f>
        <v>0</v>
      </c>
      <c r="O25" s="133">
        <f t="shared" si="0"/>
        <v>0</v>
      </c>
      <c r="P25" s="95" t="str">
        <f>IF(HELP!AF31="ANO","","!!!")</f>
        <v/>
      </c>
      <c r="Q25" s="94" t="str">
        <f>IF(HELP!AF31="ANO","","POZOR! Koeficient pro skupinu NV musí být na všech KÚ shodný!")</f>
        <v/>
      </c>
      <c r="R25" s="135" t="str">
        <f t="shared" si="3"/>
        <v>2</v>
      </c>
      <c r="S25" s="96"/>
      <c r="T25" s="117"/>
      <c r="U25" s="96"/>
      <c r="V25" s="37"/>
      <c r="W25" s="37"/>
      <c r="X25" s="37"/>
    </row>
    <row r="26" spans="1:27" ht="15" customHeight="1" thickBot="1" x14ac:dyDescent="0.3">
      <c r="A26" s="6" t="s">
        <v>18</v>
      </c>
      <c r="B26" s="49">
        <v>9</v>
      </c>
      <c r="C26" s="40"/>
      <c r="D26" s="50" t="s">
        <v>16</v>
      </c>
      <c r="E26" s="51" t="s">
        <v>16</v>
      </c>
      <c r="F26" s="52" t="str">
        <f>IF(VLOOKUP($B$7,Všechny_obce_koeficienty!$D$2:$U$1045,18,FALSE)="","1,0",VLOOKUP($B$7,Všechny_obce_koeficienty!$D$2:$U$1045,18,FALSE))</f>
        <v>2</v>
      </c>
      <c r="G26" s="127">
        <f>VLOOKUP($B$7,Obce_vynos!B3:AB1045,25,FALSE)</f>
        <v>202032</v>
      </c>
      <c r="H26" s="40"/>
      <c r="I26" s="53" t="s">
        <v>16</v>
      </c>
      <c r="J26" s="52" t="str">
        <f t="shared" si="1"/>
        <v>2</v>
      </c>
      <c r="K26" s="52" t="str">
        <f t="shared" si="2"/>
        <v/>
      </c>
      <c r="L26" s="124"/>
      <c r="M26" s="176"/>
      <c r="N26" s="109">
        <f>IF(R26=0,G26/F26,G26/F26*R26)*$L$13</f>
        <v>202032</v>
      </c>
      <c r="O26" s="110">
        <f t="shared" si="0"/>
        <v>0</v>
      </c>
      <c r="P26" s="95" t="str">
        <f>IF(HELP!AF34="ANO","","!!!")</f>
        <v/>
      </c>
      <c r="Q26" s="94" t="str">
        <f>IF(HELP!AF34="ANO","","POZOR! Koeficient pro skupinu NV musí být na všech KÚ shodný!")</f>
        <v/>
      </c>
      <c r="R26" s="135" t="str">
        <f t="shared" si="3"/>
        <v>2</v>
      </c>
      <c r="S26" s="96"/>
      <c r="T26" s="117"/>
      <c r="U26" s="96"/>
      <c r="V26" s="37"/>
      <c r="W26" s="37"/>
      <c r="X26" s="37"/>
    </row>
    <row r="27" spans="1:27" ht="5.0999999999999996" customHeight="1" thickBot="1" x14ac:dyDescent="0.3">
      <c r="A27" s="32"/>
      <c r="B27" s="54"/>
      <c r="C27" s="40"/>
      <c r="D27" s="55"/>
      <c r="E27" s="56"/>
      <c r="F27" s="56"/>
      <c r="G27" s="57"/>
      <c r="H27" s="40"/>
      <c r="I27" s="58"/>
      <c r="J27" s="38"/>
      <c r="K27" s="38"/>
      <c r="L27" s="38"/>
      <c r="M27" s="40"/>
      <c r="N27" s="59"/>
      <c r="O27" s="60"/>
      <c r="P27" s="95" t="str">
        <f>IFERROR(IF(AND(L27=#REF!,L27=#REF!,L27=#REF!,L27=#REF!,L27=#REF!,L27=#REF!,L27=#REF!,L27=#REF!,L27=#REF!,L27=#REF!,L27=#REF!,L27=#REF!),"","!!!"),IFERROR(IF(AND(L27=#REF!,L27=#REF!,L27=#REF!,L27=#REF!,L27=#REF!,L27=#REF!,L27=#REF!,L27=#REF!,L27=#REF!,L27=#REF!,L27=#REF!),"","!!!"),IFERROR(IF(AND(L27=#REF!,L27=#REF!,L27=#REF!,L27=#REF!,L27=#REF!,L27=#REF!,L27=#REF!,L27=#REF!,L27=#REF!,L27=#REF!),"","!!!"),IFERROR(IF(AND(L27=#REF!,L27=#REF!,L27=#REF!,L27=#REF!,L27=#REF!,L27=#REF!,L27=#REF!,L27=#REF!,L27=#REF!,),"","!!!"),IFERROR(IF(AND(L27=#REF!,L27=#REF!,L27=#REF!,L27=#REF!,L27=#REF!,L27=#REF!,L27=#REF!,L27=#REF!),"","!!!"),IFERROR(IF(AND(L27=#REF!,L27=#REF!,L27=#REF!,L27=#REF!,L27=#REF!,L27=#REF!,L27=#REF!),"","!!!"),IFERROR(IF(AND(L27=#REF!,L27=#REF!,L27=#REF!,L27=#REF!,L27=#REF!,L27=#REF!),"","!!!"),IFERROR(IF(AND(L27=#REF!,L27=#REF!,L27=#REF!,L27=#REF!,L27=#REF!),"","!!!"),IFERROR(IF(AND(L27=#REF!,L27=#REF!,L27=#REF!,L27=#REF!),"","!!!"),IFERROR(IF(AND(L27=#REF!,L27=#REF!,L27=#REF!),"","!!!"),IFERROR(IF(AND(L27=#REF!,L27=#REF!),"","!!!"),IFERROR(IF(AND(L27=#REF!),"","!!!"),""))))))))))))</f>
        <v/>
      </c>
      <c r="Q27" s="94" t="str">
        <f>IFERROR(IF(AND(L27=#REF!,L27=#REF!,L27=#REF!,L27=#REF!,L27=#REF!,L27=#REF!,L27=#REF!,L27=#REF!,L27=#REF!,L27=#REF!,L27=#REF!,L27=#REF!),"","POZOR! Koeficient pro skupinu NV musí být na všech KÚ shodný!"),IFERROR(IF(AND(L27=#REF!,L27=#REF!,L27=#REF!,L27=#REF!,L27=#REF!,L27=#REF!,L27=#REF!,L27=#REF!,L27=#REF!,L27=#REF!,L27=#REF!),"","POZOR! Koeficient pro skupinu NV musí být na všech KÚ shodný!"),IFERROR(IF(AND(L27=#REF!,L27=#REF!,L27=#REF!,L27=#REF!,L27=#REF!,L27=#REF!,L27=#REF!,L27=#REF!,L27=#REF!,L27=#REF!),"","POZOR! Koeficient pro skupinu NV musí být na všech KÚ shodný!"),IFERROR(IF(AND(L27=#REF!,L27=#REF!,L27=#REF!,L27=#REF!,L27=#REF!,L27=#REF!,L27=#REF!,L27=#REF!,L27=#REF!,),"","POZOR! Koeficient pro skupinu NV musí být na všech KÚ shodný!"),IFERROR(IF(AND(L27=#REF!,L27=#REF!,L27=#REF!,L27=#REF!,L27=#REF!,L27=#REF!,L27=#REF!,L27=#REF!),"","POZOR! Koeficient pro skupinu NV musí být na všech KÚ shodný!"),IFERROR(IF(AND(L27=#REF!,L27=#REF!,L27=#REF!,L27=#REF!,L27=#REF!,L27=#REF!,L27=#REF!),"","POZOR! Koeficient pro skupinu NV musí být na všech KÚ shodný!"),IFERROR(IF(AND(L27=#REF!,L27=#REF!,L27=#REF!,L27=#REF!,L27=#REF!,L27=#REF!),"","POZOR! Koeficient pro skupinu NV musí být na všech KÚ shodný!"),IFERROR(IF(AND(L27=#REF!,L27=#REF!,L27=#REF!,L27=#REF!,L27=#REF!),"","POZOR! Koeficient pro skupinu NV musí být na všech KÚ shodný!"),IFERROR(IF(AND(L27=#REF!,L27=#REF!,L27=#REF!,L27=#REF!),"","POZOR! Koeficient pro skupinu NV musí být na všech KÚ shodný!"),IFERROR(IF(AND(L27=#REF!,L27=#REF!,L27=#REF!),"","POZOR! Koeficient pro skupinu NV musí být na všech KÚ shodný!"),IFERROR(IF(AND(L27=#REF!,L27=#REF!),"","POZOR! Koeficient pro skupinu NV musí být na všech KÚ shodný!"),IFERROR(IF(AND(L27=#REF!),"","POZOR! Koeficient pro skupinu NV musí být na všech KÚ shodný!"),""))))))))))))</f>
        <v/>
      </c>
      <c r="R27" s="135" t="str">
        <f t="shared" si="3"/>
        <v>2</v>
      </c>
      <c r="S27" s="96"/>
      <c r="T27" s="117"/>
      <c r="U27" s="96"/>
      <c r="V27" s="37"/>
      <c r="W27" s="37"/>
      <c r="X27" s="37"/>
    </row>
    <row r="28" spans="1:27" ht="30" x14ac:dyDescent="0.25">
      <c r="A28" s="7" t="s">
        <v>74</v>
      </c>
      <c r="B28" s="61">
        <v>3.5</v>
      </c>
      <c r="C28" s="40"/>
      <c r="D28" s="130">
        <f>IF(VLOOKUP($B$7,Všechny_obce_koeficienty!$D$2:$U$1045,4,FALSE)="",1,VLOOKUP($B$7,Všechny_obce_koeficienty!$D$2:$U$1045,4,FALSE))</f>
        <v>1.4</v>
      </c>
      <c r="E28" s="62" t="s">
        <v>16</v>
      </c>
      <c r="F28" s="63" t="str">
        <f>IF(VLOOKUP($B$7,Všechny_obce_koeficienty!$D$2:$U$1045,18,FALSE)="","1,0",VLOOKUP($B$7,Všechny_obce_koeficienty!$D$2:$U$1045,18,FALSE))</f>
        <v>2</v>
      </c>
      <c r="G28" s="64">
        <f>VLOOKUP($B$7,Obce_vynos!B3:AB1045,8,FALSE)+VLOOKUP($B$7,Obce_vynos!B3:AB1045,9,FALSE)</f>
        <v>247900</v>
      </c>
      <c r="H28" s="40"/>
      <c r="I28" s="120">
        <v>1.4</v>
      </c>
      <c r="J28" s="63" t="str">
        <f t="shared" si="1"/>
        <v>2</v>
      </c>
      <c r="K28" s="63" t="str">
        <f t="shared" si="2"/>
        <v/>
      </c>
      <c r="L28" s="125"/>
      <c r="M28" s="176"/>
      <c r="N28" s="111">
        <f>IF(R28=0,G28/D28*I28/F28,G28/D28*I28/F28*R28)*$L$13</f>
        <v>247900</v>
      </c>
      <c r="O28" s="112">
        <f>N28-G28</f>
        <v>0</v>
      </c>
      <c r="P28" s="95" t="str">
        <f>IF(HELP!AF37="ANO","","!!!")</f>
        <v/>
      </c>
      <c r="Q28" s="94" t="str">
        <f>IF(HELP!AF37="ANO","","POZOR! Koeficient pro skupinu NV musí být na všech KÚ shodný!")</f>
        <v/>
      </c>
      <c r="R28" s="135" t="str">
        <f t="shared" si="3"/>
        <v>2</v>
      </c>
      <c r="S28" s="117">
        <f>IF(O5&lt;=1000,Koef!I11,IF(O5&lt;=6000,Koef!J12,IF(O5&lt;=10000,Koef!K13,IF(O5&lt;=25000,Koef!L14,IF(O5&lt;=50000,Koef!L15,Koef!L16)))))</f>
        <v>1.4</v>
      </c>
      <c r="T28" s="117">
        <f>IF(S28&gt;=D28,S28,D28)</f>
        <v>1.4</v>
      </c>
      <c r="U28" s="96"/>
      <c r="V28" s="37"/>
      <c r="W28" s="37"/>
      <c r="X28" s="37"/>
    </row>
    <row r="29" spans="1:27" ht="30" customHeight="1" x14ac:dyDescent="0.25">
      <c r="A29" s="5" t="s">
        <v>75</v>
      </c>
      <c r="B29" s="46">
        <v>3.5</v>
      </c>
      <c r="C29" s="40"/>
      <c r="D29" s="130">
        <f>IF(VLOOKUP($B$7,Všechny_obce_koeficienty!$D$2:$U$1045,12,FALSE)="",1,VLOOKUP($B$7,Všechny_obce_koeficienty!$D$2:$U$1045,12,FALSE))</f>
        <v>1.4</v>
      </c>
      <c r="E29" s="45" t="s">
        <v>16</v>
      </c>
      <c r="F29" s="131" t="str">
        <f>IF(VLOOKUP($B$7,Všechny_obce_koeficienty!$D$2:$U$1045,18,FALSE)="","1,0",VLOOKUP($B$7,Všechny_obce_koeficienty!$D$2:$U$1045,18,FALSE))</f>
        <v>2</v>
      </c>
      <c r="G29" s="126">
        <f>VLOOKUP($B$7,Obce_vynos!B3:AB1045,18,FALSE)+VLOOKUP($B$7,Obce_vynos!B3:AB1045,26,FALSE)</f>
        <v>70610</v>
      </c>
      <c r="H29" s="40"/>
      <c r="I29" s="120">
        <v>1.4</v>
      </c>
      <c r="J29" s="131" t="str">
        <f t="shared" si="1"/>
        <v>2</v>
      </c>
      <c r="K29" s="131" t="str">
        <f t="shared" si="2"/>
        <v/>
      </c>
      <c r="L29" s="134"/>
      <c r="M29" s="176"/>
      <c r="N29" s="108">
        <f>IF(R29=0,G29/D29*I29/F29,G29/D29*I29/F29*R29)*$L$13</f>
        <v>70610</v>
      </c>
      <c r="O29" s="133">
        <f>N29-G29</f>
        <v>0</v>
      </c>
      <c r="P29" s="95" t="str">
        <f>IF(HELP!AF40="ANO","","!!!")</f>
        <v/>
      </c>
      <c r="Q29" s="94" t="str">
        <f>IF(HELP!AF40="ANO","","POZOR! Koeficient pro skupinu NV musí být na všech KÚ shodný!")</f>
        <v/>
      </c>
      <c r="R29" s="135" t="str">
        <f t="shared" si="3"/>
        <v>2</v>
      </c>
      <c r="S29" s="117">
        <f>IF(O5&lt;=1000,Koef!I11,IF(O5&lt;=6000,Koef!J12,IF(O5&lt;=10000,Koef!K13,IF(O5&lt;=25000,Koef!L14,IF(O5&lt;=50000,Koef!L15,Koef!L16)))))</f>
        <v>1.4</v>
      </c>
      <c r="T29" s="117">
        <f>IF(S29&gt;=D29,S29,D29)</f>
        <v>1.4</v>
      </c>
      <c r="U29" s="117"/>
      <c r="V29" s="37"/>
      <c r="W29" s="37"/>
      <c r="X29" s="37"/>
    </row>
    <row r="30" spans="1:27" ht="15" customHeight="1" x14ac:dyDescent="0.25">
      <c r="A30" s="155" t="s">
        <v>76</v>
      </c>
      <c r="B30" s="46">
        <v>11</v>
      </c>
      <c r="C30" s="40"/>
      <c r="D30" s="236" t="s">
        <v>16</v>
      </c>
      <c r="E30" s="151">
        <f>IF(VLOOKUP($B$7,Všechny_obce_koeficienty!$D$2:$U$1045,6,FALSE)=1.5,1.5,IF(VLOOKUP($B$7,Všechny_obce_koeficienty!$D$2:$U$1045,6,FALSE)=3,1.5,1))</f>
        <v>1.5</v>
      </c>
      <c r="F30" s="151" t="str">
        <f>IF(VLOOKUP($B$7,Všechny_obce_koeficienty!$D$2:$U$1045,18,FALSE)="","1,0",VLOOKUP($B$7,Všechny_obce_koeficienty!$D$2:$U$1045,18,FALSE))</f>
        <v>2</v>
      </c>
      <c r="G30" s="245">
        <f>VLOOKUP($B$7,Obce_vynos!B3:AB1045,10,FALSE)+VLOOKUP($B$7,Obce_vynos!B3:AB1045,11,FALSE)</f>
        <v>18716</v>
      </c>
      <c r="H30" s="40"/>
      <c r="I30" s="149" t="s">
        <v>16</v>
      </c>
      <c r="J30" s="151" t="str">
        <f t="shared" si="1"/>
        <v>2</v>
      </c>
      <c r="K30" s="151" t="str">
        <f t="shared" si="2"/>
        <v/>
      </c>
      <c r="L30" s="172">
        <v>5</v>
      </c>
      <c r="M30" s="176"/>
      <c r="N30" s="160">
        <f>IF(R30=0,G30/F30/E30,G30/F30/E30*R30)*$L$13</f>
        <v>31193.333333333336</v>
      </c>
      <c r="O30" s="162">
        <f>N30-G30</f>
        <v>12477.333333333336</v>
      </c>
      <c r="P30" s="153" t="str">
        <f>IF(HELP!AF43="ANO","","!!!")</f>
        <v/>
      </c>
      <c r="Q30" s="154" t="str">
        <f>IF(HELP!AF43="ANO","","POZOR! Koeficient pro skupinu NV musí být na všech KÚ shodný!")</f>
        <v/>
      </c>
      <c r="R30" s="164">
        <f t="shared" si="3"/>
        <v>5</v>
      </c>
      <c r="S30" s="97"/>
      <c r="T30" s="117"/>
      <c r="U30" s="97"/>
      <c r="V30" s="100"/>
      <c r="W30" s="100"/>
      <c r="X30" s="100"/>
    </row>
    <row r="31" spans="1:27" ht="15" customHeight="1" x14ac:dyDescent="0.25">
      <c r="A31" s="156"/>
      <c r="B31" s="65">
        <v>3.5</v>
      </c>
      <c r="C31" s="40"/>
      <c r="D31" s="237"/>
      <c r="E31" s="152"/>
      <c r="F31" s="152"/>
      <c r="G31" s="246"/>
      <c r="H31" s="40"/>
      <c r="I31" s="150"/>
      <c r="J31" s="152"/>
      <c r="K31" s="152"/>
      <c r="L31" s="173"/>
      <c r="M31" s="176"/>
      <c r="N31" s="161"/>
      <c r="O31" s="163"/>
      <c r="P31" s="153"/>
      <c r="Q31" s="154"/>
      <c r="R31" s="164"/>
      <c r="S31" s="97"/>
      <c r="T31" s="97"/>
      <c r="U31" s="97"/>
      <c r="V31" s="100"/>
      <c r="W31" s="100"/>
      <c r="X31" s="100"/>
    </row>
    <row r="32" spans="1:27" ht="15.75" customHeight="1" x14ac:dyDescent="0.25">
      <c r="A32" s="155" t="s">
        <v>103</v>
      </c>
      <c r="B32" s="247">
        <v>14.5</v>
      </c>
      <c r="C32" s="66"/>
      <c r="D32" s="157" t="s">
        <v>16</v>
      </c>
      <c r="E32" s="131">
        <f>IF(VLOOKUP($B$7,Všechny_obce_koeficienty!$D$2:$U$1045,8,FALSE)="","1,0",VLOOKUP($B$7,Všechny_obce_koeficienty!$D$2:$U$1045,8,FALSE))</f>
        <v>1.5</v>
      </c>
      <c r="F32" s="151" t="str">
        <f>IF(VLOOKUP($B$7,Všechny_obce_koeficienty!$D$2:$U$1045,18,FALSE)="","1,0",VLOOKUP($B$7,Všechny_obce_koeficienty!$D$2:$U$1045,18,FALSE))</f>
        <v>2</v>
      </c>
      <c r="G32" s="126">
        <f>VLOOKUP($B$7,Obce_vynos!B3:AB1045,12,FALSE)</f>
        <v>91654</v>
      </c>
      <c r="H32" s="67"/>
      <c r="I32" s="149" t="s">
        <v>16</v>
      </c>
      <c r="J32" s="151" t="str">
        <f t="shared" si="1"/>
        <v>2</v>
      </c>
      <c r="K32" s="151" t="str">
        <f t="shared" si="2"/>
        <v/>
      </c>
      <c r="L32" s="172">
        <v>3</v>
      </c>
      <c r="M32" s="176"/>
      <c r="N32" s="160">
        <f>(IF(R32=0,G32/F32/E32,G32/F32/E32*R32)*$L$13)+(IF(R32=0,G33/F32/E33,G33/F32/E33*R32)*$L$13)</f>
        <v>91654</v>
      </c>
      <c r="O32" s="162">
        <f>N32-G32-G33</f>
        <v>0</v>
      </c>
      <c r="P32" s="153" t="str">
        <f>IF(HELP!AF46="ANO","","!!!")</f>
        <v/>
      </c>
      <c r="Q32" s="154" t="str">
        <f>IF(HELP!AF46="ANO","","POZOR! Koeficient pro skupinu NV musí být na všech KÚ shodný!")</f>
        <v/>
      </c>
      <c r="R32" s="159">
        <f>IF(IF(L32&gt;=$K$7,L32,IF(L32="",$K$7,IF($K$7="",$J$7,$K$7)))=0,$J$7,IF(L32&gt;=$K$7,L32,IF(L32="",$K$7,IF($K$7="",$J$7,$K$7))))</f>
        <v>3</v>
      </c>
      <c r="S32" s="96"/>
      <c r="T32" s="96"/>
      <c r="U32" s="98"/>
      <c r="V32" s="101"/>
      <c r="W32" s="101"/>
      <c r="X32" s="37"/>
      <c r="Y32" s="35"/>
      <c r="Z32" s="35"/>
      <c r="AA32" s="35"/>
    </row>
    <row r="33" spans="1:27" ht="15.75" x14ac:dyDescent="0.25">
      <c r="A33" s="156"/>
      <c r="B33" s="248"/>
      <c r="C33" s="40"/>
      <c r="D33" s="158"/>
      <c r="E33" s="131" t="str">
        <f>IF(VLOOKUP($B$7,Všechny_obce_koeficienty!$D$2:$U$1045,16,FALSE)="","1,0",VLOOKUP($B$7,Všechny_obce_koeficienty!$D$2:$U$1045,16,FALSE))</f>
        <v>1,0</v>
      </c>
      <c r="F33" s="152"/>
      <c r="G33" s="126">
        <f>VLOOKUP($B$7,Obce_vynos!B3:AB1045,22,FALSE)</f>
        <v>0</v>
      </c>
      <c r="H33" s="40"/>
      <c r="I33" s="150"/>
      <c r="J33" s="152"/>
      <c r="K33" s="152"/>
      <c r="L33" s="173"/>
      <c r="M33" s="176"/>
      <c r="N33" s="161"/>
      <c r="O33" s="163"/>
      <c r="P33" s="153"/>
      <c r="Q33" s="154"/>
      <c r="R33" s="159"/>
      <c r="S33" s="96"/>
      <c r="T33" s="96"/>
      <c r="U33" s="98"/>
      <c r="V33" s="101"/>
      <c r="W33" s="101"/>
      <c r="X33" s="37"/>
      <c r="Y33" s="35"/>
      <c r="Z33" s="35"/>
      <c r="AA33" s="35"/>
    </row>
    <row r="34" spans="1:27" ht="15.75" customHeight="1" x14ac:dyDescent="0.25">
      <c r="A34" s="155" t="s">
        <v>104</v>
      </c>
      <c r="B34" s="247">
        <v>3.5</v>
      </c>
      <c r="C34" s="40"/>
      <c r="D34" s="157" t="s">
        <v>16</v>
      </c>
      <c r="E34" s="131">
        <f>IF(VLOOKUP($B$7,Všechny_obce_koeficienty!$D$2:$U$1045,9,FALSE)="","1,0",VLOOKUP($B$7,Všechny_obce_koeficienty!$D$2:$U$1045,9,FALSE))</f>
        <v>1.5</v>
      </c>
      <c r="F34" s="151" t="str">
        <f>IF(VLOOKUP($B$7,Všechny_obce_koeficienty!$D$2:$U$1045,18,FALSE)="","1,0",VLOOKUP($B$7,Všechny_obce_koeficienty!$D$2:$U$1045,18,FALSE))</f>
        <v>2</v>
      </c>
      <c r="G34" s="126">
        <f>VLOOKUP($B$7,Obce_vynos!B3:AB1045,13,FALSE)</f>
        <v>348</v>
      </c>
      <c r="H34" s="40"/>
      <c r="I34" s="149" t="s">
        <v>16</v>
      </c>
      <c r="J34" s="151" t="str">
        <f t="shared" si="1"/>
        <v>2</v>
      </c>
      <c r="K34" s="151" t="str">
        <f t="shared" si="2"/>
        <v/>
      </c>
      <c r="L34" s="172">
        <v>3</v>
      </c>
      <c r="M34" s="176"/>
      <c r="N34" s="160">
        <f>IF(R34=0,G34/F34/E34,G34/F34/E34*R34)*$L$13+IF(R34=0,G35/F34/E35,G35/F34/E35*R34)*$L$13</f>
        <v>348</v>
      </c>
      <c r="O34" s="162">
        <f>N34-G34-G35</f>
        <v>0</v>
      </c>
      <c r="P34" s="153" t="str">
        <f>IF(HELP!AF49="ANO","","!!!")</f>
        <v/>
      </c>
      <c r="Q34" s="154" t="str">
        <f>IF(HELP!AF49="ANO","","POZOR! Koeficient pro skupinu NV musí být na všech KÚ shodný!")</f>
        <v/>
      </c>
      <c r="R34" s="164">
        <f t="shared" si="3"/>
        <v>3</v>
      </c>
      <c r="S34" s="96"/>
      <c r="T34" s="96"/>
      <c r="U34" s="96"/>
      <c r="V34" s="37"/>
      <c r="W34" s="37"/>
      <c r="X34" s="37"/>
    </row>
    <row r="35" spans="1:27" ht="15.75" customHeight="1" x14ac:dyDescent="0.25">
      <c r="A35" s="156"/>
      <c r="B35" s="248"/>
      <c r="C35" s="40"/>
      <c r="D35" s="158"/>
      <c r="E35" s="131" t="str">
        <f>IF(VLOOKUP($B$7,Všechny_obce_koeficienty!$D$2:$U$1045,13,FALSE)="","1,0",VLOOKUP($B$7,Všechny_obce_koeficienty!$D$2:$U$1045,13,FALSE))</f>
        <v>1,0</v>
      </c>
      <c r="F35" s="152"/>
      <c r="G35" s="126">
        <f>VLOOKUP($B$7,Obce_vynos!B3:AB1045,19,FALSE)</f>
        <v>0</v>
      </c>
      <c r="H35" s="40"/>
      <c r="I35" s="150"/>
      <c r="J35" s="152"/>
      <c r="K35" s="152"/>
      <c r="L35" s="173"/>
      <c r="M35" s="176"/>
      <c r="N35" s="161"/>
      <c r="O35" s="163"/>
      <c r="P35" s="153"/>
      <c r="Q35" s="154"/>
      <c r="R35" s="164"/>
      <c r="S35" s="96"/>
      <c r="T35" s="96"/>
      <c r="U35" s="96"/>
      <c r="V35" s="37"/>
      <c r="W35" s="37"/>
      <c r="X35" s="37"/>
    </row>
    <row r="36" spans="1:27" ht="15.75" customHeight="1" x14ac:dyDescent="0.25">
      <c r="A36" s="155" t="s">
        <v>105</v>
      </c>
      <c r="B36" s="247">
        <v>18</v>
      </c>
      <c r="C36" s="40"/>
      <c r="D36" s="157" t="s">
        <v>16</v>
      </c>
      <c r="E36" s="131">
        <f>IF(VLOOKUP($B$7,Všechny_obce_koeficienty!$D$2:$U$1045,10,FALSE)="","1,0",VLOOKUP($B$7,Všechny_obce_koeficienty!$D$2:$U$1045,10,FALSE))</f>
        <v>1.5</v>
      </c>
      <c r="F36" s="151" t="str">
        <f>IF(VLOOKUP($B$7,Všechny_obce_koeficienty!$D$2:$U$1045,18,FALSE)="","1,0",VLOOKUP($B$7,Všechny_obce_koeficienty!$D$2:$U$1045,18,FALSE))</f>
        <v>2</v>
      </c>
      <c r="G36" s="126">
        <f>VLOOKUP($B$7,Obce_vynos!B3:AB1045,14,FALSE)</f>
        <v>1426340</v>
      </c>
      <c r="H36" s="40"/>
      <c r="I36" s="149" t="s">
        <v>16</v>
      </c>
      <c r="J36" s="151" t="str">
        <f t="shared" si="1"/>
        <v>2</v>
      </c>
      <c r="K36" s="151" t="str">
        <f t="shared" si="2"/>
        <v/>
      </c>
      <c r="L36" s="172">
        <v>3</v>
      </c>
      <c r="M36" s="176"/>
      <c r="N36" s="160">
        <f>IF(R36=0,G36/F36/E36,G36/F36/E36*R36)*$L$13+IF(R36=0,G37/F36/E37,G37/F36/E37*R36)*$L$13</f>
        <v>1426340</v>
      </c>
      <c r="O36" s="162">
        <f>N36-G36-G37</f>
        <v>0</v>
      </c>
      <c r="P36" s="153" t="str">
        <f>IF(HELP!AF52="ANO","","!!!")</f>
        <v/>
      </c>
      <c r="Q36" s="154" t="str">
        <f>IF(HELP!AF52="ANO","","POZOR! Koeficient pro skupinu NV musí být na všech KÚ shodný!")</f>
        <v/>
      </c>
      <c r="R36" s="164">
        <f t="shared" si="3"/>
        <v>3</v>
      </c>
      <c r="S36" s="96"/>
      <c r="T36" s="96"/>
      <c r="U36" s="96"/>
      <c r="V36" s="37"/>
      <c r="W36" s="37"/>
      <c r="X36" s="37"/>
    </row>
    <row r="37" spans="1:27" ht="15.75" customHeight="1" x14ac:dyDescent="0.25">
      <c r="A37" s="156"/>
      <c r="B37" s="248"/>
      <c r="C37" s="40"/>
      <c r="D37" s="158"/>
      <c r="E37" s="131" t="str">
        <f>IF(VLOOKUP($B$7,Všechny_obce_koeficienty!$D$2:$U$1045,14,FALSE)="","1,0",VLOOKUP($B$7,Všechny_obce_koeficienty!$D$2:$U$1045,14,FALSE))</f>
        <v>1,0</v>
      </c>
      <c r="F37" s="152"/>
      <c r="G37" s="126">
        <f>VLOOKUP($B$7,Obce_vynos!B3:AB1045,20,FALSE)</f>
        <v>0</v>
      </c>
      <c r="H37" s="40"/>
      <c r="I37" s="150"/>
      <c r="J37" s="152"/>
      <c r="K37" s="152"/>
      <c r="L37" s="173"/>
      <c r="M37" s="176"/>
      <c r="N37" s="161"/>
      <c r="O37" s="163"/>
      <c r="P37" s="153"/>
      <c r="Q37" s="154"/>
      <c r="R37" s="164"/>
      <c r="S37" s="96"/>
      <c r="T37" s="96"/>
      <c r="U37" s="96"/>
      <c r="V37" s="37"/>
      <c r="W37" s="37"/>
      <c r="X37" s="37"/>
    </row>
    <row r="38" spans="1:27" ht="15.75" customHeight="1" x14ac:dyDescent="0.25">
      <c r="A38" s="155" t="s">
        <v>106</v>
      </c>
      <c r="B38" s="247">
        <v>18</v>
      </c>
      <c r="C38" s="40"/>
      <c r="D38" s="157" t="s">
        <v>16</v>
      </c>
      <c r="E38" s="131">
        <f>IF(VLOOKUP($B$7,Všechny_obce_koeficienty!$D$2:$U$1045,11,FALSE)="","1,0",VLOOKUP($B$7,Všechny_obce_koeficienty!$D$2:$U$1045,11,FALSE))</f>
        <v>1.5</v>
      </c>
      <c r="F38" s="151" t="str">
        <f>IF(VLOOKUP($B$7,Všechny_obce_koeficienty!$D$2:$U$1045,18,FALSE)="","1,0",VLOOKUP($B$7,Všechny_obce_koeficienty!$D$2:$U$1045,18,FALSE))</f>
        <v>2</v>
      </c>
      <c r="G38" s="126">
        <f>VLOOKUP($B$7,Obce_vynos!B3:AB1045,15,FALSE)</f>
        <v>61884</v>
      </c>
      <c r="H38" s="40"/>
      <c r="I38" s="149" t="s">
        <v>16</v>
      </c>
      <c r="J38" s="151" t="str">
        <f t="shared" si="1"/>
        <v>2</v>
      </c>
      <c r="K38" s="151" t="str">
        <f t="shared" si="2"/>
        <v/>
      </c>
      <c r="L38" s="172">
        <v>3</v>
      </c>
      <c r="M38" s="176"/>
      <c r="N38" s="160">
        <f>IF(R38=0,G38/F38/E38,G38/F38/E38*R38)*$L$13+IF(R38=0,G39/F38/E39,G39/F38/E39*R38)*$L$13</f>
        <v>61884</v>
      </c>
      <c r="O38" s="162">
        <f>N38-G38-G39</f>
        <v>0</v>
      </c>
      <c r="P38" s="153" t="str">
        <f>IF(HELP!AF55="ANO","","!!!")</f>
        <v/>
      </c>
      <c r="Q38" s="154" t="str">
        <f>IF(HELP!AF55="ANO","","POZOR! Koeficient pro skupinu NV musí být na všech KÚ shodný!")</f>
        <v/>
      </c>
      <c r="R38" s="165">
        <f>IF(IF(L38&gt;=$K$7,L38,IF(L38="",$K$7,IF($K$7="",$J$7,$K$7)))=0,$J$7,IF(L38&gt;=$K$7,L38,IF(L38="",$K$7,IF($K$7="",$J$7,$K$7))))</f>
        <v>3</v>
      </c>
      <c r="S38" s="96"/>
      <c r="T38" s="96"/>
      <c r="U38" s="96"/>
      <c r="V38" s="37"/>
      <c r="W38" s="37"/>
      <c r="X38" s="37"/>
    </row>
    <row r="39" spans="1:27" ht="15.75" x14ac:dyDescent="0.25">
      <c r="A39" s="156"/>
      <c r="B39" s="248"/>
      <c r="C39" s="40"/>
      <c r="D39" s="158"/>
      <c r="E39" s="132" t="str">
        <f>IF(VLOOKUP($B$7,Všechny_obce_koeficienty!$D$2:$U$1045,15,FALSE)="","1,0",VLOOKUP($B$7,Všechny_obce_koeficienty!$D$2:$U$1045,15,FALSE))</f>
        <v>1,0</v>
      </c>
      <c r="F39" s="152"/>
      <c r="G39" s="116">
        <f>VLOOKUP($B$7,Obce_vynos!B3:AB1045,21,FALSE)</f>
        <v>0</v>
      </c>
      <c r="H39" s="40"/>
      <c r="I39" s="150"/>
      <c r="J39" s="152"/>
      <c r="K39" s="152"/>
      <c r="L39" s="173"/>
      <c r="M39" s="176"/>
      <c r="N39" s="161"/>
      <c r="O39" s="163"/>
      <c r="P39" s="153"/>
      <c r="Q39" s="154"/>
      <c r="R39" s="165"/>
      <c r="S39" s="96"/>
      <c r="T39" s="96"/>
      <c r="U39" s="96"/>
      <c r="V39" s="37"/>
      <c r="W39" s="37"/>
      <c r="X39" s="37"/>
    </row>
    <row r="40" spans="1:27" ht="15" customHeight="1" thickBot="1" x14ac:dyDescent="0.3">
      <c r="A40" s="6" t="s">
        <v>11</v>
      </c>
      <c r="B40" s="49">
        <v>11</v>
      </c>
      <c r="C40" s="40"/>
      <c r="D40" s="50" t="s">
        <v>16</v>
      </c>
      <c r="E40" s="68" t="s">
        <v>16</v>
      </c>
      <c r="F40" s="52" t="str">
        <f>IF(VLOOKUP($B$7,Všechny_obce_koeficienty!$D$2:$U$1045,18,FALSE)="","1,0",VLOOKUP($B$7,Všechny_obce_koeficienty!$D$2:$U$1045,18,FALSE))</f>
        <v>2</v>
      </c>
      <c r="G40" s="127">
        <f>VLOOKUP($B$7,Obce_vynos!B3:AB1045,16,FALSE)</f>
        <v>7160</v>
      </c>
      <c r="H40" s="40"/>
      <c r="I40" s="69" t="s">
        <v>16</v>
      </c>
      <c r="J40" s="52" t="str">
        <f t="shared" si="1"/>
        <v>2</v>
      </c>
      <c r="K40" s="52" t="str">
        <f t="shared" si="2"/>
        <v/>
      </c>
      <c r="L40" s="124"/>
      <c r="M40" s="176"/>
      <c r="N40" s="109">
        <f>IF(R40=0,G40/F40,G40/F40*R40)*$L$13</f>
        <v>7160</v>
      </c>
      <c r="O40" s="110">
        <f>N40-G40</f>
        <v>0</v>
      </c>
      <c r="P40" s="95" t="str">
        <f>IF(HELP!AF58="ANO","","!!!")</f>
        <v/>
      </c>
      <c r="Q40" s="94" t="str">
        <f>IF(HELP!AF58="ANO","","POZOR! Koeficient pro skupinu NV musí být na všech KÚ shodný!")</f>
        <v/>
      </c>
      <c r="R40" s="135" t="str">
        <f t="shared" si="3"/>
        <v>2</v>
      </c>
      <c r="S40" s="96"/>
      <c r="T40" s="96"/>
      <c r="U40" s="96"/>
      <c r="V40" s="37"/>
      <c r="W40" s="37"/>
      <c r="X40" s="37"/>
    </row>
    <row r="41" spans="1:27" ht="15.75" thickBot="1" x14ac:dyDescent="0.3">
      <c r="A41" s="3"/>
      <c r="G41" s="8"/>
      <c r="I41" s="235"/>
      <c r="J41" s="235"/>
      <c r="K41" s="235"/>
      <c r="L41" s="235"/>
      <c r="M41" s="235"/>
      <c r="N41" s="235"/>
      <c r="O41" s="235"/>
      <c r="R41" s="37"/>
      <c r="S41" s="37"/>
      <c r="T41" s="37"/>
      <c r="U41" s="37"/>
      <c r="V41" s="37"/>
      <c r="W41" s="37"/>
      <c r="X41" s="37"/>
    </row>
    <row r="42" spans="1:27" ht="20.25" thickBot="1" x14ac:dyDescent="0.35">
      <c r="A42" s="243" t="s">
        <v>12</v>
      </c>
      <c r="B42" s="244"/>
      <c r="C42" s="75"/>
      <c r="D42" s="75"/>
      <c r="E42" s="75"/>
      <c r="F42" s="75"/>
      <c r="G42" s="76">
        <f>SUM(G17:G26)+SUM(G28:G40)</f>
        <v>2392532</v>
      </c>
      <c r="H42" s="75"/>
      <c r="I42" s="75"/>
      <c r="J42" s="75"/>
      <c r="K42" s="75"/>
      <c r="L42" s="75"/>
      <c r="M42" s="75"/>
      <c r="N42" s="113">
        <f>N17+N18+N19+N20+N21+N22+N23+N24+N25+N26+N28+N29+N30+N32+N34+N36+N38+N40</f>
        <v>2405009.3333333335</v>
      </c>
      <c r="O42" s="114">
        <f>N42-G42</f>
        <v>12477.333333333489</v>
      </c>
      <c r="R42" s="37"/>
      <c r="S42" s="37"/>
      <c r="T42" s="37"/>
      <c r="U42" s="37"/>
      <c r="V42" s="37"/>
      <c r="W42" s="37"/>
      <c r="X42" s="37"/>
    </row>
    <row r="43" spans="1:27" x14ac:dyDescent="0.25">
      <c r="R43" s="37"/>
      <c r="S43" s="37"/>
      <c r="T43" s="37"/>
      <c r="U43" s="37"/>
      <c r="V43" s="37"/>
      <c r="W43" s="37"/>
      <c r="X43" s="37"/>
    </row>
    <row r="44" spans="1:27" x14ac:dyDescent="0.25">
      <c r="R44" s="37"/>
      <c r="S44" s="37"/>
      <c r="T44" s="37"/>
      <c r="U44" s="37"/>
      <c r="V44" s="37"/>
      <c r="W44" s="37"/>
      <c r="X44" s="37"/>
    </row>
    <row r="45" spans="1:27" ht="18.75" x14ac:dyDescent="0.25">
      <c r="A45" s="233" t="s">
        <v>13</v>
      </c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R45" s="37"/>
      <c r="S45" s="37"/>
      <c r="T45" s="37"/>
      <c r="U45" s="37"/>
      <c r="V45" s="37"/>
      <c r="W45" s="37"/>
      <c r="X45" s="37"/>
    </row>
    <row r="46" spans="1:27" ht="5.0999999999999996" customHeight="1" thickBot="1" x14ac:dyDescent="0.3">
      <c r="R46" s="37"/>
      <c r="S46" s="37"/>
      <c r="T46" s="37"/>
      <c r="U46" s="37"/>
      <c r="V46" s="37"/>
      <c r="W46" s="37"/>
      <c r="X46" s="37"/>
    </row>
    <row r="47" spans="1:27" ht="56.25" customHeight="1" x14ac:dyDescent="0.25">
      <c r="A47" s="264" t="s">
        <v>15</v>
      </c>
      <c r="B47" s="265"/>
      <c r="C47" s="40"/>
      <c r="D47" s="268" t="s">
        <v>21</v>
      </c>
      <c r="E47" s="269"/>
      <c r="F47" s="269"/>
      <c r="G47" s="270"/>
      <c r="H47" s="77"/>
      <c r="I47" s="177" t="s">
        <v>83</v>
      </c>
      <c r="J47" s="178"/>
      <c r="K47" s="178" t="s">
        <v>20</v>
      </c>
      <c r="L47" s="206"/>
      <c r="M47" s="78"/>
      <c r="N47" s="86" t="s">
        <v>86</v>
      </c>
      <c r="O47" s="258" t="s">
        <v>20</v>
      </c>
      <c r="P47" s="2"/>
      <c r="R47" s="37"/>
      <c r="S47" s="37"/>
      <c r="T47" s="37"/>
      <c r="U47" s="37"/>
      <c r="V47" s="37"/>
    </row>
    <row r="48" spans="1:27" ht="35.25" customHeight="1" thickBot="1" x14ac:dyDescent="0.3">
      <c r="A48" s="266"/>
      <c r="B48" s="267"/>
      <c r="C48" s="40"/>
      <c r="D48" s="261" t="str">
        <f>Koef!B3</f>
        <v>Zdaňovací období roku 2024</v>
      </c>
      <c r="E48" s="262"/>
      <c r="F48" s="262"/>
      <c r="G48" s="263"/>
      <c r="H48" s="77"/>
      <c r="I48" s="179" t="s">
        <v>72</v>
      </c>
      <c r="J48" s="180"/>
      <c r="K48" s="180"/>
      <c r="L48" s="223"/>
      <c r="M48" s="79"/>
      <c r="N48" s="80" t="s">
        <v>72</v>
      </c>
      <c r="O48" s="259"/>
      <c r="P48" s="2"/>
      <c r="R48" s="96"/>
      <c r="S48" s="96"/>
      <c r="T48" s="96"/>
      <c r="U48" s="96"/>
    </row>
    <row r="49" spans="1:21" ht="18" thickTop="1" x14ac:dyDescent="0.25">
      <c r="A49" s="186" t="s">
        <v>88</v>
      </c>
      <c r="B49" s="187"/>
      <c r="C49" s="40"/>
      <c r="D49" s="249">
        <f>150*B28*D28*F28</f>
        <v>1470</v>
      </c>
      <c r="E49" s="250"/>
      <c r="F49" s="250"/>
      <c r="G49" s="251"/>
      <c r="H49" s="40"/>
      <c r="I49" s="260">
        <f>150*B28*T28*F28</f>
        <v>1470</v>
      </c>
      <c r="J49" s="256"/>
      <c r="K49" s="256">
        <f>I49-D49</f>
        <v>0</v>
      </c>
      <c r="L49" s="257"/>
      <c r="M49" s="81"/>
      <c r="N49" s="93">
        <f>IF(R28=0,150*B28*I28*F28,150*B28*I28*R28)</f>
        <v>1470</v>
      </c>
      <c r="O49" s="82">
        <f t="shared" ref="O49:O57" si="4">N49-D49</f>
        <v>0</v>
      </c>
      <c r="R49" s="96"/>
      <c r="S49" s="96"/>
      <c r="T49" s="96"/>
      <c r="U49" s="96"/>
    </row>
    <row r="50" spans="1:21" ht="17.25" x14ac:dyDescent="0.25">
      <c r="A50" s="181" t="s">
        <v>89</v>
      </c>
      <c r="B50" s="182"/>
      <c r="C50" s="40"/>
      <c r="D50" s="183">
        <f>60*1.22*B29*D29*F29</f>
        <v>717.3599999999999</v>
      </c>
      <c r="E50" s="184"/>
      <c r="F50" s="184"/>
      <c r="G50" s="185"/>
      <c r="H50" s="40"/>
      <c r="I50" s="224">
        <f>60*1.22*B29*T29*F29</f>
        <v>717.3599999999999</v>
      </c>
      <c r="J50" s="225"/>
      <c r="K50" s="225">
        <f t="shared" ref="K50:K57" si="5">I50-D50</f>
        <v>0</v>
      </c>
      <c r="L50" s="254"/>
      <c r="M50" s="83"/>
      <c r="N50" s="91">
        <f>IF(R29=0,60*1.22*B29*I29*F29,60*1.22*B29*I29*R29)</f>
        <v>717.3599999999999</v>
      </c>
      <c r="O50" s="84">
        <f t="shared" si="4"/>
        <v>0</v>
      </c>
      <c r="S50" s="37"/>
      <c r="T50" s="37"/>
      <c r="U50" s="37"/>
    </row>
    <row r="51" spans="1:21" ht="17.25" x14ac:dyDescent="0.25">
      <c r="A51" s="181" t="s">
        <v>90</v>
      </c>
      <c r="B51" s="182"/>
      <c r="C51" s="40"/>
      <c r="D51" s="183">
        <f>1000*B17</f>
        <v>37.529999999999994</v>
      </c>
      <c r="E51" s="184"/>
      <c r="F51" s="184"/>
      <c r="G51" s="185">
        <f>1000*B17</f>
        <v>37.529999999999994</v>
      </c>
      <c r="H51" s="40"/>
      <c r="I51" s="224">
        <f>1000*B17</f>
        <v>37.529999999999994</v>
      </c>
      <c r="J51" s="225"/>
      <c r="K51" s="225">
        <f t="shared" si="5"/>
        <v>0</v>
      </c>
      <c r="L51" s="254"/>
      <c r="M51" s="83"/>
      <c r="N51" s="91">
        <f>IF(L17="",1000*B17*J17,1000*B17*L17)</f>
        <v>37.529999999999994</v>
      </c>
      <c r="O51" s="84">
        <f t="shared" si="4"/>
        <v>0</v>
      </c>
      <c r="S51" s="37"/>
      <c r="T51" s="37"/>
      <c r="U51" s="37"/>
    </row>
    <row r="52" spans="1:21" ht="15.75" x14ac:dyDescent="0.25">
      <c r="A52" s="228" t="s">
        <v>73</v>
      </c>
      <c r="B52" s="229"/>
      <c r="C52" s="40"/>
      <c r="D52" s="183">
        <f>10000*B17</f>
        <v>375.29999999999995</v>
      </c>
      <c r="E52" s="184"/>
      <c r="F52" s="184"/>
      <c r="G52" s="185">
        <f>1000*B18</f>
        <v>12.509999999999998</v>
      </c>
      <c r="H52" s="40"/>
      <c r="I52" s="224">
        <f>10000*B17</f>
        <v>375.29999999999995</v>
      </c>
      <c r="J52" s="225"/>
      <c r="K52" s="225">
        <f t="shared" si="5"/>
        <v>0</v>
      </c>
      <c r="L52" s="254"/>
      <c r="M52" s="83"/>
      <c r="N52" s="91">
        <f>IF(L17="",10000*B17*J17,10000*B17*L17)</f>
        <v>375.29999999999995</v>
      </c>
      <c r="O52" s="84">
        <f t="shared" si="4"/>
        <v>0</v>
      </c>
      <c r="S52" s="37"/>
      <c r="T52" s="37"/>
      <c r="U52" s="37"/>
    </row>
    <row r="53" spans="1:21" ht="17.25" x14ac:dyDescent="0.25">
      <c r="A53" s="181" t="s">
        <v>91</v>
      </c>
      <c r="B53" s="182"/>
      <c r="C53" s="40"/>
      <c r="D53" s="183">
        <f>20*B32*E32*F32</f>
        <v>870</v>
      </c>
      <c r="E53" s="184"/>
      <c r="F53" s="184"/>
      <c r="G53" s="185" t="e">
        <f>20*B32*D32*#REF!</f>
        <v>#VALUE!</v>
      </c>
      <c r="H53" s="40"/>
      <c r="I53" s="224">
        <f>20*B32*F32</f>
        <v>580</v>
      </c>
      <c r="J53" s="225"/>
      <c r="K53" s="225">
        <f t="shared" si="5"/>
        <v>-290</v>
      </c>
      <c r="L53" s="254"/>
      <c r="M53" s="83"/>
      <c r="N53" s="91">
        <f>IF(R32=0,20*B32*F32,20*B32*R32)</f>
        <v>870</v>
      </c>
      <c r="O53" s="84">
        <f t="shared" si="4"/>
        <v>0</v>
      </c>
      <c r="S53" s="37"/>
      <c r="T53" s="37"/>
      <c r="U53" s="37"/>
    </row>
    <row r="54" spans="1:21" ht="17.25" x14ac:dyDescent="0.25">
      <c r="A54" s="181" t="s">
        <v>92</v>
      </c>
      <c r="B54" s="182"/>
      <c r="C54" s="40"/>
      <c r="D54" s="183">
        <f>50*B30*E30*F30</f>
        <v>1650</v>
      </c>
      <c r="E54" s="184"/>
      <c r="F54" s="184"/>
      <c r="G54" s="185" t="e">
        <f>20*B34*D34*#REF!</f>
        <v>#VALUE!</v>
      </c>
      <c r="H54" s="40"/>
      <c r="I54" s="224">
        <f>50*B30*F30</f>
        <v>1100</v>
      </c>
      <c r="J54" s="225"/>
      <c r="K54" s="225">
        <f t="shared" si="5"/>
        <v>-550</v>
      </c>
      <c r="L54" s="254"/>
      <c r="M54" s="83"/>
      <c r="N54" s="91">
        <f>IF(R30=0,50*B30*F30,50*B30*R30)</f>
        <v>2750</v>
      </c>
      <c r="O54" s="84">
        <f t="shared" si="4"/>
        <v>1100</v>
      </c>
      <c r="S54" s="37"/>
      <c r="T54" s="37"/>
      <c r="U54" s="37"/>
    </row>
    <row r="55" spans="1:21" ht="17.25" x14ac:dyDescent="0.25">
      <c r="A55" s="181" t="s">
        <v>93</v>
      </c>
      <c r="B55" s="182"/>
      <c r="C55" s="40"/>
      <c r="D55" s="183">
        <f>200*B34*E34*F34</f>
        <v>2100</v>
      </c>
      <c r="E55" s="184"/>
      <c r="F55" s="184"/>
      <c r="G55" s="185" t="e">
        <f>20*B36*D36*#REF!</f>
        <v>#VALUE!</v>
      </c>
      <c r="H55" s="40"/>
      <c r="I55" s="224">
        <f>200*B34*F34</f>
        <v>1400</v>
      </c>
      <c r="J55" s="225"/>
      <c r="K55" s="225">
        <f t="shared" si="5"/>
        <v>-700</v>
      </c>
      <c r="L55" s="254"/>
      <c r="M55" s="83"/>
      <c r="N55" s="91">
        <f>IF(R34=0,200*B34*F34,200*B34*R34)</f>
        <v>2100</v>
      </c>
      <c r="O55" s="84">
        <f t="shared" si="4"/>
        <v>0</v>
      </c>
      <c r="S55" s="37"/>
      <c r="T55" s="37"/>
      <c r="U55" s="37"/>
    </row>
    <row r="56" spans="1:21" ht="17.25" x14ac:dyDescent="0.25">
      <c r="A56" s="181" t="s">
        <v>94</v>
      </c>
      <c r="B56" s="182"/>
      <c r="C56" s="40"/>
      <c r="D56" s="183">
        <f>200*B36*E36*F36</f>
        <v>10800</v>
      </c>
      <c r="E56" s="184"/>
      <c r="F56" s="184"/>
      <c r="G56" s="185" t="e">
        <f>20*B38*D38*#REF!</f>
        <v>#VALUE!</v>
      </c>
      <c r="H56" s="40"/>
      <c r="I56" s="224">
        <f>200*B36*F36</f>
        <v>7200</v>
      </c>
      <c r="J56" s="225"/>
      <c r="K56" s="225">
        <f t="shared" si="5"/>
        <v>-3600</v>
      </c>
      <c r="L56" s="254"/>
      <c r="M56" s="83"/>
      <c r="N56" s="91">
        <f>IF(R36=0,200*B36*F36,200*B36*R36)</f>
        <v>10800</v>
      </c>
      <c r="O56" s="84">
        <f t="shared" si="4"/>
        <v>0</v>
      </c>
    </row>
    <row r="57" spans="1:21" ht="18" thickBot="1" x14ac:dyDescent="0.3">
      <c r="A57" s="226" t="s">
        <v>95</v>
      </c>
      <c r="B57" s="227"/>
      <c r="C57" s="40"/>
      <c r="D57" s="230">
        <f>200*B38*E38*F38</f>
        <v>10800</v>
      </c>
      <c r="E57" s="231"/>
      <c r="F57" s="231"/>
      <c r="G57" s="232" t="e">
        <f>20*B40*D40*#REF!</f>
        <v>#VALUE!</v>
      </c>
      <c r="H57" s="40"/>
      <c r="I57" s="252">
        <f>200*B38*F38</f>
        <v>7200</v>
      </c>
      <c r="J57" s="253"/>
      <c r="K57" s="253">
        <f t="shared" si="5"/>
        <v>-3600</v>
      </c>
      <c r="L57" s="255"/>
      <c r="M57" s="83"/>
      <c r="N57" s="92">
        <f>IF(R38=0,200*B38*F38,200*B38*R38)</f>
        <v>10800</v>
      </c>
      <c r="O57" s="85">
        <f t="shared" si="4"/>
        <v>0</v>
      </c>
    </row>
  </sheetData>
  <sheetProtection algorithmName="SHA-512" hashValue="Cq7D3ugbFVNV3K6rcSE3gF0kBSagER2HYnh6xKeLaVAvojwduNRs5BxKroALDWWSCOBKg8rDim9F2QZNSL8OtA==" saltValue="KKXNCWj+Z2HrIx6cJ6uuHg==" spinCount="100000" sheet="1" objects="1" scenarios="1"/>
  <dataConsolidate/>
  <mergeCells count="136">
    <mergeCell ref="A1:P1"/>
    <mergeCell ref="A3:P3"/>
    <mergeCell ref="B5:G5"/>
    <mergeCell ref="B7:G7"/>
    <mergeCell ref="A9:P9"/>
    <mergeCell ref="A11:A16"/>
    <mergeCell ref="B11:B16"/>
    <mergeCell ref="D11:G14"/>
    <mergeCell ref="I11:O11"/>
    <mergeCell ref="I12:O12"/>
    <mergeCell ref="I13:K13"/>
    <mergeCell ref="M13:M16"/>
    <mergeCell ref="N13:N16"/>
    <mergeCell ref="O13:O16"/>
    <mergeCell ref="I14:L14"/>
    <mergeCell ref="D15:F15"/>
    <mergeCell ref="G15:G16"/>
    <mergeCell ref="I15:I16"/>
    <mergeCell ref="L15:L16"/>
    <mergeCell ref="J17:K17"/>
    <mergeCell ref="M17:M26"/>
    <mergeCell ref="J18:K18"/>
    <mergeCell ref="J19:K19"/>
    <mergeCell ref="M28:M40"/>
    <mergeCell ref="A30:A31"/>
    <mergeCell ref="D30:D31"/>
    <mergeCell ref="E30:E31"/>
    <mergeCell ref="F30:F31"/>
    <mergeCell ref="G30:G31"/>
    <mergeCell ref="A32:A33"/>
    <mergeCell ref="B32:B33"/>
    <mergeCell ref="D32:D33"/>
    <mergeCell ref="F32:F33"/>
    <mergeCell ref="I32:I33"/>
    <mergeCell ref="J32:J33"/>
    <mergeCell ref="K32:K33"/>
    <mergeCell ref="I30:I31"/>
    <mergeCell ref="J30:J31"/>
    <mergeCell ref="K30:K31"/>
    <mergeCell ref="L32:L33"/>
    <mergeCell ref="N32:N33"/>
    <mergeCell ref="O32:O33"/>
    <mergeCell ref="P32:P33"/>
    <mergeCell ref="Q32:Q33"/>
    <mergeCell ref="R32:R33"/>
    <mergeCell ref="P30:P31"/>
    <mergeCell ref="Q30:Q31"/>
    <mergeCell ref="R30:R31"/>
    <mergeCell ref="L30:L31"/>
    <mergeCell ref="N30:N31"/>
    <mergeCell ref="O30:O31"/>
    <mergeCell ref="R34:R35"/>
    <mergeCell ref="A36:A37"/>
    <mergeCell ref="B36:B37"/>
    <mergeCell ref="D36:D37"/>
    <mergeCell ref="F36:F37"/>
    <mergeCell ref="I36:I37"/>
    <mergeCell ref="J36:J37"/>
    <mergeCell ref="K36:K37"/>
    <mergeCell ref="L36:L37"/>
    <mergeCell ref="N36:N37"/>
    <mergeCell ref="K34:K35"/>
    <mergeCell ref="L34:L35"/>
    <mergeCell ref="N34:N35"/>
    <mergeCell ref="O34:O35"/>
    <mergeCell ref="P34:P35"/>
    <mergeCell ref="Q34:Q35"/>
    <mergeCell ref="A34:A35"/>
    <mergeCell ref="B34:B35"/>
    <mergeCell ref="D34:D35"/>
    <mergeCell ref="F34:F35"/>
    <mergeCell ref="I34:I35"/>
    <mergeCell ref="J34:J35"/>
    <mergeCell ref="O36:O37"/>
    <mergeCell ref="P36:P37"/>
    <mergeCell ref="Q36:Q37"/>
    <mergeCell ref="R36:R37"/>
    <mergeCell ref="A38:A39"/>
    <mergeCell ref="B38:B39"/>
    <mergeCell ref="D38:D39"/>
    <mergeCell ref="F38:F39"/>
    <mergeCell ref="I38:I39"/>
    <mergeCell ref="J38:J39"/>
    <mergeCell ref="R38:R39"/>
    <mergeCell ref="K38:K39"/>
    <mergeCell ref="L38:L39"/>
    <mergeCell ref="N38:N39"/>
    <mergeCell ref="O38:O39"/>
    <mergeCell ref="P38:P39"/>
    <mergeCell ref="Q38:Q39"/>
    <mergeCell ref="I41:O41"/>
    <mergeCell ref="A42:B42"/>
    <mergeCell ref="A45:P45"/>
    <mergeCell ref="A47:B48"/>
    <mergeCell ref="D47:G47"/>
    <mergeCell ref="I47:J47"/>
    <mergeCell ref="K47:L48"/>
    <mergeCell ref="O47:O48"/>
    <mergeCell ref="D48:G48"/>
    <mergeCell ref="I48:J48"/>
    <mergeCell ref="A49:B49"/>
    <mergeCell ref="D49:G49"/>
    <mergeCell ref="I49:J49"/>
    <mergeCell ref="K49:L49"/>
    <mergeCell ref="A50:B50"/>
    <mergeCell ref="D50:G50"/>
    <mergeCell ref="I50:J50"/>
    <mergeCell ref="K50:L50"/>
    <mergeCell ref="A53:B53"/>
    <mergeCell ref="D53:G53"/>
    <mergeCell ref="I53:J53"/>
    <mergeCell ref="K53:L53"/>
    <mergeCell ref="A54:B54"/>
    <mergeCell ref="D54:G54"/>
    <mergeCell ref="I54:J54"/>
    <mergeCell ref="K54:L54"/>
    <mergeCell ref="A51:B51"/>
    <mergeCell ref="D51:G51"/>
    <mergeCell ref="I51:J51"/>
    <mergeCell ref="K51:L51"/>
    <mergeCell ref="A52:B52"/>
    <mergeCell ref="D52:G52"/>
    <mergeCell ref="I52:J52"/>
    <mergeCell ref="K52:L52"/>
    <mergeCell ref="A57:B57"/>
    <mergeCell ref="D57:G57"/>
    <mergeCell ref="I57:J57"/>
    <mergeCell ref="K57:L57"/>
    <mergeCell ref="A55:B55"/>
    <mergeCell ref="D55:G55"/>
    <mergeCell ref="I55:J55"/>
    <mergeCell ref="K55:L55"/>
    <mergeCell ref="A56:B56"/>
    <mergeCell ref="D56:G56"/>
    <mergeCell ref="I56:J56"/>
    <mergeCell ref="K56:L56"/>
  </mergeCells>
  <conditionalFormatting sqref="J20:J26">
    <cfRule type="expression" dxfId="39" priority="6">
      <formula>IF(L20="",IF(K20="",J20,"NIC"))</formula>
    </cfRule>
  </conditionalFormatting>
  <conditionalFormatting sqref="L20:L26">
    <cfRule type="expression" dxfId="38" priority="7">
      <formula>IF(L20&gt;$K$7,L20,"NIC")</formula>
    </cfRule>
  </conditionalFormatting>
  <conditionalFormatting sqref="L28:L32 L34 L36 L38 L40">
    <cfRule type="expression" dxfId="37" priority="8">
      <formula>IF(L28&gt;$K$7,L28,"NIC")</formula>
    </cfRule>
  </conditionalFormatting>
  <conditionalFormatting sqref="K20:K26">
    <cfRule type="expression" dxfId="36" priority="5">
      <formula>IF(K20&gt;=L20,K20,"NIC")</formula>
    </cfRule>
  </conditionalFormatting>
  <conditionalFormatting sqref="J28:J30">
    <cfRule type="expression" dxfId="35" priority="4">
      <formula>IF(L28="",IF(K28="",J28,"NIC"))</formula>
    </cfRule>
  </conditionalFormatting>
  <conditionalFormatting sqref="K28:K32 K34 K36 K38 K40">
    <cfRule type="expression" dxfId="34" priority="3">
      <formula>IF(K28&gt;=L28,K28,"NIC")</formula>
    </cfRule>
  </conditionalFormatting>
  <conditionalFormatting sqref="J32 J34 J36 J38 J40">
    <cfRule type="expression" dxfId="33" priority="2">
      <formula>IF(L32="",IF(K32="",J32,"NIC"))</formula>
    </cfRule>
  </conditionalFormatting>
  <conditionalFormatting sqref="L17:L19">
    <cfRule type="cellIs" dxfId="32" priority="1" operator="greaterThan">
      <formula>0</formula>
    </cfRule>
  </conditionalFormatting>
  <pageMargins left="0.7" right="0.7" top="0.78740157499999996" bottom="0.78740157499999996" header="0.3" footer="0.3"/>
  <pageSetup paperSize="8" scale="80" orientation="landscape" horizontalDpi="4294967293" r:id="rId1"/>
  <ignoredErrors>
    <ignoredError sqref="N2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Pict="0" macro="[0]!makro_2024_obec">
                <anchor moveWithCells="1" sizeWithCells="1">
                  <from>
                    <xdr:col>15</xdr:col>
                    <xdr:colOff>47625</xdr:colOff>
                    <xdr:row>13</xdr:row>
                    <xdr:rowOff>9525</xdr:rowOff>
                  </from>
                  <to>
                    <xdr:col>16</xdr:col>
                    <xdr:colOff>2133600</xdr:colOff>
                    <xdr:row>14</xdr:row>
                    <xdr:rowOff>685800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AEB4A446-CB63-47D3-A6C7-AB3270F9AB57}">
          <x14:formula1>
            <xm:f>IF(O5&lt;=1000,Koef!$I$11:$J$11,IF(O5&lt;=6000,Koef!$J$12:$K$12,IF(O5&lt;=10000,Koef!$K$13:$L$13,IF(O5&lt;=25000,Koef!$L$14:$M$14,IF(O5&lt;=50000,Koef!$L$15:$M$15,Koef!$L$16:$M$16)))))</xm:f>
          </x14:formula1>
          <xm:sqref>I29</xm:sqref>
        </x14:dataValidation>
        <x14:dataValidation type="list" allowBlank="1" showInputMessage="1" showErrorMessage="1" xr:uid="{A4F1F657-642C-40A6-8808-CB7FFDEC1314}">
          <x14:formula1>
            <xm:f>IF(O5&lt;=1000,Koef!$I$11:$J$11,IF(O5&lt;=6000,Koef!$J$12:$K$12,IF(O5&lt;=10000,Koef!$K$13:$L$13,IF(O5&lt;=25000,Koef!$L$14:$M$14,IF(O5&lt;=50000,Koef!$L$15:$M$15,Koef!$L$16:$M$16)))))</xm:f>
          </x14:formula1>
          <xm:sqref>I28</xm:sqref>
        </x14:dataValidation>
        <x14:dataValidation type="list" allowBlank="1" showInputMessage="1" showErrorMessage="1" xr:uid="{D19EEB6D-EA90-46F4-A369-F266FD1C2BB6}">
          <x14:formula1>
            <xm:f>Koef!$S$12:$S$58</xm:f>
          </x14:formula1>
          <xm:sqref>J16:K16</xm:sqref>
        </x14:dataValidation>
        <x14:dataValidation type="list" allowBlank="1" showInputMessage="1" showErrorMessage="1" xr:uid="{4B493AE7-6AB3-43A6-A09C-416A68B594E7}">
          <x14:formula1>
            <xm:f>Koef!$R$12:$R$23</xm:f>
          </x14:formula1>
          <xm:sqref>L17:L19</xm:sqref>
        </x14:dataValidation>
        <x14:dataValidation type="list" allowBlank="1" showInputMessage="1" showErrorMessage="1" xr:uid="{FBAE9F12-CB3F-4C76-AE5A-D81191A65307}">
          <x14:formula1>
            <xm:f>Koef!$Q$12:$Q$58</xm:f>
          </x14:formula1>
          <xm:sqref>L28:L30 L20:L26 L32 L34 L36 L38 L40</xm:sqref>
        </x14:dataValidation>
        <x14:dataValidation type="list" allowBlank="1" showInputMessage="1" showErrorMessage="1" xr:uid="{88BA543E-365F-446A-984F-2CA378AEB0E3}">
          <x14:formula1>
            <xm:f>IF(O5&lt;=1000,Koef!$I$11:$J$11,IF(O5&lt;=6000,Koef!$J$12:$K$12,IF(O5&lt;=10000,Koef!$K$13:$L$13,IF(O5&lt;=25000,Koef!$L$14:$M$14,IF(O5&lt;=50000,Koef!$L$15:$M$15,Koef!$L$16:$M$16)))))</xm:f>
          </x14:formula1>
          <xm:sqref>I22</xm:sqref>
        </x14:dataValidation>
        <x14:dataValidation type="list" allowBlank="1" showInputMessage="1" showErrorMessage="1" xr:uid="{0702BF0A-546D-4DA0-AA15-9796D254A525}">
          <x14:formula1>
            <xm:f>IF(VLOOKUP(#REF!,Obce_vynos!#REF!,3,FALSE)&lt;=1000,Koef!$I$11:$J$11,Koef!$I$12:$K$12)</xm:f>
          </x14:formula1>
          <xm:sqref>G80</xm:sqref>
        </x14:dataValidation>
        <x14:dataValidation type="list" allowBlank="1" showInputMessage="1" showErrorMessage="1" xr:uid="{BB3C7A2A-191F-4250-B761-E9C4DF6D39E1}">
          <x14:formula1>
            <xm:f>Obce_s_KU!$A$2:$A$1150</xm:f>
          </x14:formula1>
          <xm:sqref>B5:G5</xm:sqref>
        </x14:dataValidation>
        <x14:dataValidation type="list" allowBlank="1" showInputMessage="1" showErrorMessage="1" xr:uid="{C3367993-57EF-4CC5-8391-12A95AE92CB3}">
          <x14:formula1>
            <xm:f>INDIRECT(VLOOKUP(B5,Obce_s_KU!A2:B1150,2,FALSE))</xm:f>
          </x14:formula1>
          <xm:sqref>B7:G7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1DFE-FA95-4367-A205-0DF6AD99A122}">
  <sheetPr codeName="List2">
    <pageSetUpPr fitToPage="1"/>
  </sheetPr>
  <dimension ref="A1:AA57"/>
  <sheetViews>
    <sheetView topLeftCell="A15" zoomScale="80" zoomScaleNormal="80" workbookViewId="0">
      <selection activeCell="L30" sqref="L30:L31"/>
    </sheetView>
  </sheetViews>
  <sheetFormatPr defaultRowHeight="15" x14ac:dyDescent="0.25"/>
  <cols>
    <col min="1" max="1" width="55.7109375" customWidth="1"/>
    <col min="2" max="2" width="17.28515625" customWidth="1"/>
    <col min="3" max="3" width="1.7109375" customWidth="1"/>
    <col min="4" max="6" width="10.7109375" customWidth="1"/>
    <col min="7" max="7" width="20" customWidth="1"/>
    <col min="8" max="8" width="1.7109375" customWidth="1"/>
    <col min="9" max="9" width="10.7109375" customWidth="1"/>
    <col min="10" max="10" width="13.7109375" customWidth="1"/>
    <col min="11" max="11" width="13.85546875" customWidth="1"/>
    <col min="12" max="12" width="13.42578125" customWidth="1"/>
    <col min="13" max="13" width="1.5703125" customWidth="1"/>
    <col min="14" max="14" width="24.28515625" customWidth="1"/>
    <col min="15" max="15" width="22.85546875" customWidth="1"/>
    <col min="16" max="16" width="3.5703125" customWidth="1"/>
    <col min="17" max="17" width="62.140625" customWidth="1"/>
  </cols>
  <sheetData>
    <row r="1" spans="1:24" ht="23.25" x14ac:dyDescent="0.25">
      <c r="A1" s="188" t="s">
        <v>14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3" spans="1:24" ht="18.75" x14ac:dyDescent="0.25">
      <c r="A3" s="189" t="s">
        <v>0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</row>
    <row r="4" spans="1:24" ht="15.75" thickBot="1" x14ac:dyDescent="0.3">
      <c r="R4" s="96"/>
      <c r="S4" s="96"/>
      <c r="T4" s="96"/>
      <c r="U4" s="96"/>
    </row>
    <row r="5" spans="1:24" ht="16.5" thickBot="1" x14ac:dyDescent="0.3">
      <c r="A5" s="71" t="s">
        <v>1</v>
      </c>
      <c r="B5" s="190" t="s">
        <v>108</v>
      </c>
      <c r="C5" s="191"/>
      <c r="D5" s="191"/>
      <c r="E5" s="191"/>
      <c r="F5" s="191"/>
      <c r="G5" s="192"/>
      <c r="H5" s="40"/>
      <c r="I5" s="40"/>
      <c r="J5" s="40"/>
      <c r="K5" s="40"/>
      <c r="L5" s="40"/>
      <c r="M5" s="40"/>
      <c r="N5" s="71" t="s">
        <v>3</v>
      </c>
      <c r="O5" s="72">
        <f>VLOOKUP(B5,'OBCE, počet obyvatel'!C3:D1591,2,FALSE)</f>
        <v>5095</v>
      </c>
      <c r="R5" s="96"/>
      <c r="S5" s="96"/>
      <c r="T5" s="96"/>
      <c r="U5" s="96"/>
    </row>
    <row r="6" spans="1:24" ht="5.0999999999999996" customHeight="1" thickBot="1" x14ac:dyDescent="0.3">
      <c r="A6" s="71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73"/>
      <c r="O6" s="74"/>
      <c r="R6" s="96"/>
      <c r="S6" s="96"/>
      <c r="T6" s="96"/>
      <c r="U6" s="96"/>
    </row>
    <row r="7" spans="1:24" ht="16.5" thickBot="1" x14ac:dyDescent="0.3">
      <c r="A7" s="71" t="s">
        <v>2</v>
      </c>
      <c r="B7" s="218" t="s">
        <v>118</v>
      </c>
      <c r="C7" s="219"/>
      <c r="D7" s="219"/>
      <c r="E7" s="219"/>
      <c r="F7" s="219"/>
      <c r="G7" s="220"/>
      <c r="H7" s="40"/>
      <c r="I7" s="40"/>
      <c r="J7" s="99" t="str">
        <f>IF(OR(ISBLANK($J$16),$J$16="žádný"),0,$J$16)</f>
        <v>2</v>
      </c>
      <c r="K7" s="99">
        <f>IF(OR(ISBLANK($K$16),$K$16="žádný"),0,$K$16)</f>
        <v>0</v>
      </c>
      <c r="L7" s="40"/>
      <c r="M7" s="40"/>
      <c r="N7" s="73"/>
      <c r="O7" s="40"/>
      <c r="R7" s="96"/>
      <c r="S7" s="37"/>
      <c r="T7" s="37"/>
      <c r="U7" s="37"/>
      <c r="V7" s="37"/>
      <c r="W7" s="37"/>
      <c r="X7" s="37"/>
    </row>
    <row r="8" spans="1:24" x14ac:dyDescent="0.25">
      <c r="R8" s="96"/>
      <c r="S8" s="37"/>
      <c r="T8" s="37"/>
      <c r="U8" s="37"/>
      <c r="V8" s="37"/>
      <c r="W8" s="37"/>
      <c r="X8" s="37"/>
    </row>
    <row r="9" spans="1:24" ht="18.75" x14ac:dyDescent="0.25">
      <c r="A9" s="189" t="s">
        <v>82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R9" s="96"/>
      <c r="S9" s="37"/>
      <c r="T9" s="37"/>
      <c r="U9" s="37"/>
      <c r="V9" s="37"/>
      <c r="W9" s="37"/>
      <c r="X9" s="37"/>
    </row>
    <row r="10" spans="1:24" ht="5.0999999999999996" customHeight="1" thickBot="1" x14ac:dyDescent="0.3">
      <c r="R10" s="96"/>
      <c r="S10" s="37"/>
      <c r="T10" s="37"/>
      <c r="U10" s="37"/>
      <c r="V10" s="37"/>
      <c r="W10" s="37"/>
      <c r="X10" s="37"/>
    </row>
    <row r="11" spans="1:24" ht="26.25" customHeight="1" x14ac:dyDescent="0.25">
      <c r="A11" s="203" t="s">
        <v>81</v>
      </c>
      <c r="B11" s="206" t="s">
        <v>87</v>
      </c>
      <c r="D11" s="209" t="str">
        <f>Koef!B3</f>
        <v>Zdaňovací období roku 2024</v>
      </c>
      <c r="E11" s="210"/>
      <c r="F11" s="210"/>
      <c r="G11" s="211"/>
      <c r="I11" s="200" t="s">
        <v>77</v>
      </c>
      <c r="J11" s="201"/>
      <c r="K11" s="201"/>
      <c r="L11" s="201"/>
      <c r="M11" s="201"/>
      <c r="N11" s="201"/>
      <c r="O11" s="202"/>
      <c r="R11" s="96"/>
      <c r="S11" s="37"/>
      <c r="T11" s="37"/>
      <c r="U11" s="37"/>
      <c r="V11" s="37"/>
      <c r="W11" s="37"/>
      <c r="X11" s="37"/>
    </row>
    <row r="12" spans="1:24" ht="26.25" customHeight="1" thickBot="1" x14ac:dyDescent="0.3">
      <c r="A12" s="204"/>
      <c r="B12" s="207"/>
      <c r="D12" s="212"/>
      <c r="E12" s="213"/>
      <c r="F12" s="213"/>
      <c r="G12" s="214"/>
      <c r="I12" s="197" t="s">
        <v>72</v>
      </c>
      <c r="J12" s="198"/>
      <c r="K12" s="198"/>
      <c r="L12" s="198"/>
      <c r="M12" s="198"/>
      <c r="N12" s="198"/>
      <c r="O12" s="199"/>
      <c r="R12" s="96"/>
      <c r="S12" s="37"/>
      <c r="T12" s="37"/>
      <c r="U12" s="37"/>
      <c r="V12" s="37"/>
      <c r="W12" s="37"/>
      <c r="X12" s="37"/>
    </row>
    <row r="13" spans="1:24" ht="26.25" customHeight="1" x14ac:dyDescent="0.25">
      <c r="A13" s="204"/>
      <c r="B13" s="207"/>
      <c r="D13" s="212"/>
      <c r="E13" s="213"/>
      <c r="F13" s="213"/>
      <c r="G13" s="214"/>
      <c r="I13" s="177" t="s">
        <v>85</v>
      </c>
      <c r="J13" s="178"/>
      <c r="K13" s="178"/>
      <c r="L13" s="70">
        <v>1</v>
      </c>
      <c r="M13" s="174"/>
      <c r="N13" s="177" t="s">
        <v>4</v>
      </c>
      <c r="O13" s="206" t="s">
        <v>17</v>
      </c>
      <c r="R13" s="96" t="str">
        <f>IF(ISBLANK(R11),"",R11)</f>
        <v/>
      </c>
      <c r="S13" s="37"/>
      <c r="T13" s="37"/>
      <c r="U13" s="37"/>
      <c r="V13" s="37"/>
      <c r="W13" s="37"/>
      <c r="X13" s="37"/>
    </row>
    <row r="14" spans="1:24" ht="26.25" customHeight="1" thickBot="1" x14ac:dyDescent="0.3">
      <c r="A14" s="204"/>
      <c r="B14" s="207"/>
      <c r="D14" s="215"/>
      <c r="E14" s="216"/>
      <c r="F14" s="216"/>
      <c r="G14" s="217"/>
      <c r="I14" s="194" t="s">
        <v>84</v>
      </c>
      <c r="J14" s="195"/>
      <c r="K14" s="195"/>
      <c r="L14" s="196"/>
      <c r="M14" s="175"/>
      <c r="N14" s="194"/>
      <c r="O14" s="196"/>
      <c r="R14" s="37"/>
      <c r="S14" s="37"/>
      <c r="T14" s="37"/>
      <c r="U14" s="37"/>
      <c r="V14" s="37"/>
      <c r="W14" s="37"/>
      <c r="X14" s="37"/>
    </row>
    <row r="15" spans="1:24" ht="58.5" customHeight="1" thickTop="1" x14ac:dyDescent="0.25">
      <c r="A15" s="204"/>
      <c r="B15" s="207"/>
      <c r="D15" s="238" t="s">
        <v>69</v>
      </c>
      <c r="E15" s="239"/>
      <c r="F15" s="240"/>
      <c r="G15" s="241" t="s">
        <v>4</v>
      </c>
      <c r="I15" s="221" t="s">
        <v>80</v>
      </c>
      <c r="J15" s="87" t="s">
        <v>96</v>
      </c>
      <c r="K15" s="88" t="s">
        <v>78</v>
      </c>
      <c r="L15" s="170" t="s">
        <v>79</v>
      </c>
      <c r="M15" s="175"/>
      <c r="N15" s="194"/>
      <c r="O15" s="196"/>
      <c r="R15" s="37"/>
      <c r="S15" s="37"/>
      <c r="T15" s="37"/>
      <c r="U15" s="37"/>
      <c r="V15" s="37"/>
      <c r="W15" s="37"/>
      <c r="X15" s="37"/>
    </row>
    <row r="16" spans="1:24" ht="45" customHeight="1" thickBot="1" x14ac:dyDescent="0.3">
      <c r="A16" s="205"/>
      <c r="B16" s="208"/>
      <c r="D16" s="80" t="s">
        <v>80</v>
      </c>
      <c r="E16" s="89">
        <v>1.5</v>
      </c>
      <c r="F16" s="90" t="s">
        <v>96</v>
      </c>
      <c r="G16" s="242"/>
      <c r="I16" s="222"/>
      <c r="J16" s="118" t="s">
        <v>124</v>
      </c>
      <c r="K16" s="119" t="s">
        <v>97</v>
      </c>
      <c r="L16" s="171"/>
      <c r="M16" s="175"/>
      <c r="N16" s="179"/>
      <c r="O16" s="223"/>
      <c r="P16" s="95" t="str">
        <f>IF(HELP!AF4="ANO","","!!!")</f>
        <v/>
      </c>
      <c r="Q16" s="94" t="str">
        <f>IF(HELP!AF4="ANO","","POZOR! Koeficient pro OBEC musí být na všech KÚ shodný!")</f>
        <v/>
      </c>
      <c r="R16" s="96"/>
      <c r="S16" s="96"/>
      <c r="T16" s="117" t="str">
        <f>IF(VLOOKUP($B$7,Všechny_obce_koeficienty!$D$2:$U$1045,18,FALSE)="",1,VLOOKUP($B$7,Všechny_obce_koeficienty!$D$2:$U$1045,18,FALSE))</f>
        <v>2</v>
      </c>
      <c r="U16" s="96" t="s">
        <v>97</v>
      </c>
      <c r="V16" s="37"/>
      <c r="W16" s="37"/>
      <c r="X16" s="37"/>
    </row>
    <row r="17" spans="1:27" ht="15" customHeight="1" thickTop="1" x14ac:dyDescent="0.25">
      <c r="A17" s="36" t="s">
        <v>6</v>
      </c>
      <c r="B17" s="39" t="e">
        <f>VLOOKUP(B7,Všechny_obce_koeficienty!D2:U6,2,FALSE)*0.0135</f>
        <v>#N/A</v>
      </c>
      <c r="C17" s="40"/>
      <c r="D17" s="41" t="s">
        <v>16</v>
      </c>
      <c r="E17" s="42" t="s">
        <v>16</v>
      </c>
      <c r="F17" s="43">
        <v>1</v>
      </c>
      <c r="G17" s="128">
        <f>VLOOKUP($B$7,Obce_vynos!B3:AB1045,2,FALSE)</f>
        <v>15044</v>
      </c>
      <c r="H17" s="40"/>
      <c r="I17" s="41" t="s">
        <v>16</v>
      </c>
      <c r="J17" s="166">
        <v>1</v>
      </c>
      <c r="K17" s="167"/>
      <c r="L17" s="121"/>
      <c r="M17" s="176"/>
      <c r="N17" s="106">
        <f>IF(L17="",G17/F17*J17,G17/F17*L17)</f>
        <v>15044</v>
      </c>
      <c r="O17" s="107">
        <f t="shared" ref="O17:O26" si="0">N17-G17</f>
        <v>0</v>
      </c>
      <c r="P17" s="95" t="str">
        <f>IF(HELP!AF7="ANO","","!!!")</f>
        <v/>
      </c>
      <c r="Q17" s="94" t="str">
        <f>IF(HELP!AF7="ANO","","POZOR! Koeficient pro skupinu NV musí být na všech KÚ shodný!")</f>
        <v/>
      </c>
      <c r="R17" s="136"/>
      <c r="S17" s="136"/>
      <c r="T17" s="96"/>
      <c r="U17" s="96"/>
      <c r="V17" s="37"/>
      <c r="W17" s="37"/>
      <c r="X17" s="37"/>
    </row>
    <row r="18" spans="1:27" ht="15" customHeight="1" x14ac:dyDescent="0.25">
      <c r="A18" s="5" t="s">
        <v>5</v>
      </c>
      <c r="B18" s="44" t="e">
        <f>VLOOKUP(B7,Všechny_obce_koeficienty!D2:U6,2,FALSE)*0.0045</f>
        <v>#N/A</v>
      </c>
      <c r="C18" s="40"/>
      <c r="D18" s="129" t="s">
        <v>16</v>
      </c>
      <c r="E18" s="45" t="s">
        <v>16</v>
      </c>
      <c r="F18" s="131">
        <v>1</v>
      </c>
      <c r="G18" s="126">
        <f>VLOOKUP($B$7,Obce_vynos!B3:AB1045,3,FALSE)</f>
        <v>21552</v>
      </c>
      <c r="H18" s="40"/>
      <c r="I18" s="129" t="s">
        <v>16</v>
      </c>
      <c r="J18" s="168">
        <v>1</v>
      </c>
      <c r="K18" s="169"/>
      <c r="L18" s="122"/>
      <c r="M18" s="176"/>
      <c r="N18" s="108">
        <f>IF(L18="",G18/F18*J18,G18/F18*L18)</f>
        <v>21552</v>
      </c>
      <c r="O18" s="133">
        <f t="shared" si="0"/>
        <v>0</v>
      </c>
      <c r="P18" s="95" t="str">
        <f>IF(HELP!AF10="ANO","","!!!")</f>
        <v/>
      </c>
      <c r="Q18" s="94" t="str">
        <f>IF(HELP!AF10="ANO","","POZOR! Koeficient pro skupinu NV musí být na všech KÚ shodný!")</f>
        <v/>
      </c>
      <c r="R18" s="96"/>
      <c r="S18" s="96"/>
      <c r="T18" s="96"/>
      <c r="U18" s="96"/>
      <c r="V18" s="37"/>
      <c r="W18" s="37"/>
      <c r="X18" s="37"/>
    </row>
    <row r="19" spans="1:27" ht="15" customHeight="1" x14ac:dyDescent="0.25">
      <c r="A19" s="5" t="s">
        <v>68</v>
      </c>
      <c r="B19" s="46">
        <v>0.08</v>
      </c>
      <c r="C19" s="40"/>
      <c r="D19" s="129" t="s">
        <v>16</v>
      </c>
      <c r="E19" s="45" t="s">
        <v>16</v>
      </c>
      <c r="F19" s="131">
        <v>1</v>
      </c>
      <c r="G19" s="126">
        <f>VLOOKUP($B$7,Obce_vynos!B3:AB1045,23,FALSE)</f>
        <v>940</v>
      </c>
      <c r="H19" s="40"/>
      <c r="I19" s="129" t="s">
        <v>16</v>
      </c>
      <c r="J19" s="168">
        <v>1</v>
      </c>
      <c r="K19" s="169"/>
      <c r="L19" s="122"/>
      <c r="M19" s="176"/>
      <c r="N19" s="108">
        <f>IF(L19="",G19/F19*J19,G19/F19*L19)</f>
        <v>940</v>
      </c>
      <c r="O19" s="133">
        <f t="shared" si="0"/>
        <v>0</v>
      </c>
      <c r="P19" s="95" t="str">
        <f>IF(HELP!AF13="ANO","","!!!")</f>
        <v/>
      </c>
      <c r="Q19" s="94" t="str">
        <f>IF(HELP!AF13="ANO","","POZOR! Koeficient pro skupinu NV musí být na všech KÚ shodný!")</f>
        <v/>
      </c>
      <c r="R19" s="96"/>
      <c r="S19" s="96"/>
      <c r="T19" s="96"/>
      <c r="U19" s="96"/>
      <c r="V19" s="37"/>
      <c r="W19" s="37"/>
      <c r="X19" s="37"/>
    </row>
    <row r="20" spans="1:27" ht="15" customHeight="1" x14ac:dyDescent="0.25">
      <c r="A20" s="5" t="s">
        <v>7</v>
      </c>
      <c r="B20" s="47">
        <f>3.8*0.0045</f>
        <v>1.7099999999999997E-2</v>
      </c>
      <c r="C20" s="40"/>
      <c r="D20" s="48" t="s">
        <v>16</v>
      </c>
      <c r="E20" s="45" t="s">
        <v>16</v>
      </c>
      <c r="F20" s="131" t="str">
        <f>IF(VLOOKUP($B$7,Všechny_obce_koeficienty!$D$2:$U$1045,18,FALSE)="","1,0",VLOOKUP($B$7,Všechny_obce_koeficienty!$D$2:$U$1045,18,FALSE))</f>
        <v>2</v>
      </c>
      <c r="G20" s="126">
        <f>VLOOKUP($B$7,Obce_vynos!B3:AB1045,4,FALSE)</f>
        <v>348</v>
      </c>
      <c r="H20" s="40"/>
      <c r="I20" s="129" t="s">
        <v>16</v>
      </c>
      <c r="J20" s="131" t="str">
        <f>IF(OR(ISBLANK($J$16),$J$16="žádný"),"",$J$16)</f>
        <v>2</v>
      </c>
      <c r="K20" s="131" t="str">
        <f>IF(OR(ISBLANK($K$16),$K$16="žádný"),"",$K$16)</f>
        <v/>
      </c>
      <c r="L20" s="123"/>
      <c r="M20" s="176"/>
      <c r="N20" s="108">
        <f>IF(R20=0,G20/F20,G20/F20*R20)*$L$13</f>
        <v>348</v>
      </c>
      <c r="O20" s="133">
        <f t="shared" si="0"/>
        <v>0</v>
      </c>
      <c r="P20" s="95" t="str">
        <f>IF(HELP!AF16="ANO","","!!!")</f>
        <v/>
      </c>
      <c r="Q20" s="94" t="str">
        <f>IF(HELP!AF16="ANO","","POZOR! Koeficient pro skupinu NV musí být na všech KÚ shodný!")</f>
        <v/>
      </c>
      <c r="R20" s="135" t="str">
        <f>IF(IF(L20&gt;=$K$7,L20,IF(L20="",$K$7,IF($K$7="",$J$7,$K$7)))=0,$J$7,IF(L20&gt;=$K$7,L20,IF(L20="",$K$7,IF($K$7="",$J$7,$K$7))))</f>
        <v>2</v>
      </c>
      <c r="S20" s="96"/>
      <c r="T20" s="96"/>
      <c r="U20" s="96"/>
      <c r="V20" s="37"/>
      <c r="W20" s="37"/>
      <c r="X20" s="37"/>
    </row>
    <row r="21" spans="1:27" ht="15" customHeight="1" x14ac:dyDescent="0.25">
      <c r="A21" s="5" t="s">
        <v>8</v>
      </c>
      <c r="B21" s="46">
        <v>0.35</v>
      </c>
      <c r="C21" s="40"/>
      <c r="D21" s="48" t="s">
        <v>16</v>
      </c>
      <c r="E21" s="45" t="s">
        <v>16</v>
      </c>
      <c r="F21" s="131" t="str">
        <f>IF(VLOOKUP($B$7,Všechny_obce_koeficienty!$D$2:$U$1045,18,FALSE)="","1,0",VLOOKUP($B$7,Všechny_obce_koeficienty!$D$2:$U$1045,18,FALSE))</f>
        <v>2</v>
      </c>
      <c r="G21" s="126">
        <f>VLOOKUP($B$7,Obce_vynos!B3:AB1045,5,FALSE)</f>
        <v>11396</v>
      </c>
      <c r="H21" s="40"/>
      <c r="I21" s="129" t="s">
        <v>16</v>
      </c>
      <c r="J21" s="131" t="str">
        <f t="shared" ref="J21:J40" si="1">IF(OR(ISBLANK($J$16),$J$16="žádný"),"",$J$16)</f>
        <v>2</v>
      </c>
      <c r="K21" s="131" t="str">
        <f t="shared" ref="K21:K40" si="2">IF(OR(ISBLANK($K$16),$K$16="žádný"),"",$K$16)</f>
        <v/>
      </c>
      <c r="L21" s="134"/>
      <c r="M21" s="176"/>
      <c r="N21" s="108">
        <f>IF(R21=0,G21/F21,G21/F21*R21)*$L$13</f>
        <v>11396</v>
      </c>
      <c r="O21" s="133">
        <f t="shared" si="0"/>
        <v>0</v>
      </c>
      <c r="P21" s="95" t="str">
        <f>IF(HELP!AF19="ANO","","!!!")</f>
        <v/>
      </c>
      <c r="Q21" s="94" t="str">
        <f>IF(HELP!AF19="ANO","","POZOR! Koeficient pro skupinu NV musí být na všech KÚ shodný!")</f>
        <v/>
      </c>
      <c r="R21" s="135" t="str">
        <f t="shared" ref="R21:R40" si="3">IF(IF(L21&gt;=$K$7,L21,IF(L21="",$K$7,IF($K$7="",$J$7,$K$7)))=0,$J$7,IF(L21&gt;=$K$7,L21,IF(L21="",$K$7,IF($K$7="",$J$7,$K$7))))</f>
        <v>2</v>
      </c>
      <c r="S21" s="96"/>
      <c r="T21" s="96"/>
      <c r="U21" s="96"/>
      <c r="V21" s="37"/>
      <c r="W21" s="37"/>
      <c r="X21" s="37"/>
    </row>
    <row r="22" spans="1:27" ht="15" customHeight="1" x14ac:dyDescent="0.25">
      <c r="A22" s="5" t="s">
        <v>9</v>
      </c>
      <c r="B22" s="46">
        <v>3.5</v>
      </c>
      <c r="C22" s="40"/>
      <c r="D22" s="130">
        <f>IF(VLOOKUP($B$7,Všechny_obce_koeficienty!$D$2:$U$1045,3,FALSE)="",1,VLOOKUP($B$7,Všechny_obce_koeficienty!$D$2:$U$1045,3,FALSE))</f>
        <v>1.4</v>
      </c>
      <c r="E22" s="45" t="s">
        <v>16</v>
      </c>
      <c r="F22" s="131" t="str">
        <f>IF(VLOOKUP($B$7,Všechny_obce_koeficienty!$D$2:$U$1045,18,FALSE)="","1,0",VLOOKUP($B$7,Všechny_obce_koeficienty!$D$2:$U$1045,18,FALSE))</f>
        <v>2</v>
      </c>
      <c r="G22" s="126">
        <f>VLOOKUP($B$7,Obce_vynos!B3:AB1045,6,FALSE)</f>
        <v>7472</v>
      </c>
      <c r="H22" s="40"/>
      <c r="I22" s="120">
        <v>1.4</v>
      </c>
      <c r="J22" s="131" t="str">
        <f t="shared" si="1"/>
        <v>2</v>
      </c>
      <c r="K22" s="131" t="str">
        <f t="shared" si="2"/>
        <v/>
      </c>
      <c r="L22" s="134"/>
      <c r="M22" s="176"/>
      <c r="N22" s="108">
        <f>IF(R22=0,G22/D22*I22/F22,G22/D22*I22/F22*R22)*$L$13</f>
        <v>7472</v>
      </c>
      <c r="O22" s="133">
        <f t="shared" si="0"/>
        <v>0</v>
      </c>
      <c r="P22" s="95" t="str">
        <f>IF(HELP!AF22="ANO","","!!!")</f>
        <v/>
      </c>
      <c r="Q22" s="94" t="str">
        <f>IF(HELP!AF22="ANO","","POZOR! Koeficient pro skupinu NV musí být na všech KÚ shodný!")</f>
        <v/>
      </c>
      <c r="R22" s="135" t="str">
        <f t="shared" si="3"/>
        <v>2</v>
      </c>
      <c r="S22" s="117">
        <f>IF(O5&lt;=1000,Koef!I11,IF(O5&lt;=6000,Koef!J12,IF(O5&lt;=10000,Koef!K13,IF(O5&lt;=25000,Koef!L14,IF(O5&lt;=50000,Koef!L15,Koef!L16)))))</f>
        <v>1.4</v>
      </c>
      <c r="T22" s="117">
        <f>IF(S22&gt;=D22,S22,D22)</f>
        <v>1.4</v>
      </c>
      <c r="U22" s="96"/>
      <c r="V22" s="37"/>
      <c r="W22" s="37"/>
      <c r="X22" s="37"/>
    </row>
    <row r="23" spans="1:27" ht="15" customHeight="1" x14ac:dyDescent="0.25">
      <c r="A23" s="5" t="s">
        <v>10</v>
      </c>
      <c r="B23" s="46">
        <v>0.35</v>
      </c>
      <c r="C23" s="40"/>
      <c r="D23" s="48" t="s">
        <v>16</v>
      </c>
      <c r="E23" s="45" t="s">
        <v>16</v>
      </c>
      <c r="F23" s="131" t="str">
        <f>IF(VLOOKUP($B$7,Všechny_obce_koeficienty!$D$2:$U$1045,18,FALSE)="","1,0",VLOOKUP($B$7,Všechny_obce_koeficienty!$D$2:$U$1045,18,FALSE))</f>
        <v>2</v>
      </c>
      <c r="G23" s="126">
        <f>VLOOKUP($B$7,Obce_vynos!B3:AB1045,7,FALSE)</f>
        <v>28448</v>
      </c>
      <c r="H23" s="40"/>
      <c r="I23" s="129" t="s">
        <v>16</v>
      </c>
      <c r="J23" s="131" t="str">
        <f t="shared" si="1"/>
        <v>2</v>
      </c>
      <c r="K23" s="131" t="str">
        <f t="shared" si="2"/>
        <v/>
      </c>
      <c r="L23" s="134"/>
      <c r="M23" s="176"/>
      <c r="N23" s="108">
        <f>IF(R23=0,G23/F23,G23/F23*R23)*$L$13</f>
        <v>28448</v>
      </c>
      <c r="O23" s="133">
        <f t="shared" si="0"/>
        <v>0</v>
      </c>
      <c r="P23" s="95" t="str">
        <f>IF(HELP!AF25="ANO","","!!!")</f>
        <v/>
      </c>
      <c r="Q23" s="94" t="str">
        <f>IF(HELP!AF25="ANO","","POZOR! Koeficient pro skupinu NV musí být na všech KÚ shodný!")</f>
        <v/>
      </c>
      <c r="R23" s="135" t="str">
        <f t="shared" si="3"/>
        <v>2</v>
      </c>
      <c r="S23" s="96"/>
      <c r="T23" s="117"/>
      <c r="U23" s="96"/>
      <c r="V23" s="37"/>
      <c r="W23" s="37"/>
      <c r="X23" s="37"/>
    </row>
    <row r="24" spans="1:27" ht="15" customHeight="1" x14ac:dyDescent="0.25">
      <c r="A24" s="5" t="s">
        <v>67</v>
      </c>
      <c r="B24" s="46">
        <v>0.35</v>
      </c>
      <c r="C24" s="40"/>
      <c r="D24" s="48" t="s">
        <v>16</v>
      </c>
      <c r="E24" s="45" t="s">
        <v>16</v>
      </c>
      <c r="F24" s="131" t="str">
        <f>IF(VLOOKUP($B$7,Všechny_obce_koeficienty!$D$2:$U$1045,18,FALSE)="","1,0",VLOOKUP($B$7,Všechny_obce_koeficienty!$D$2:$U$1045,18,FALSE))</f>
        <v>2</v>
      </c>
      <c r="G24" s="126">
        <f>VLOOKUP($B$7,Obce_vynos!B3:AB1045,17,FALSE)</f>
        <v>12230</v>
      </c>
      <c r="H24" s="40"/>
      <c r="I24" s="129" t="s">
        <v>16</v>
      </c>
      <c r="J24" s="131" t="str">
        <f t="shared" si="1"/>
        <v>2</v>
      </c>
      <c r="K24" s="131" t="str">
        <f t="shared" si="2"/>
        <v/>
      </c>
      <c r="L24" s="134"/>
      <c r="M24" s="176"/>
      <c r="N24" s="108">
        <f>IF(R24=0,G24/F24,G24/F24*R24)*$L$13</f>
        <v>12230</v>
      </c>
      <c r="O24" s="133">
        <f t="shared" si="0"/>
        <v>0</v>
      </c>
      <c r="P24" s="95" t="str">
        <f>IF(HELP!AF28="ANO","","!!!")</f>
        <v/>
      </c>
      <c r="Q24" s="94" t="str">
        <f>IF(HELP!AF28="ANO","","POZOR! Koeficient pro skupinu NV musí být na všech KÚ shodný!")</f>
        <v/>
      </c>
      <c r="R24" s="135" t="str">
        <f t="shared" si="3"/>
        <v>2</v>
      </c>
      <c r="S24" s="96"/>
      <c r="T24" s="117"/>
      <c r="U24" s="96"/>
      <c r="V24" s="37"/>
      <c r="W24" s="37"/>
      <c r="X24" s="37"/>
    </row>
    <row r="25" spans="1:27" ht="15" customHeight="1" x14ac:dyDescent="0.25">
      <c r="A25" s="5" t="s">
        <v>19</v>
      </c>
      <c r="B25" s="46">
        <v>1.8</v>
      </c>
      <c r="C25" s="40"/>
      <c r="D25" s="48" t="s">
        <v>16</v>
      </c>
      <c r="E25" s="45" t="s">
        <v>16</v>
      </c>
      <c r="F25" s="131" t="str">
        <f>IF(VLOOKUP($B$7,Všechny_obce_koeficienty!$D$2:$U$1045,18,FALSE)="","1,0",VLOOKUP($B$7,Všechny_obce_koeficienty!$D$2:$U$1045,18,FALSE))</f>
        <v>2</v>
      </c>
      <c r="G25" s="126">
        <f>VLOOKUP($B$7,Obce_vynos!B3:AB1045,24,FALSE)</f>
        <v>0</v>
      </c>
      <c r="H25" s="40"/>
      <c r="I25" s="129" t="s">
        <v>16</v>
      </c>
      <c r="J25" s="131" t="str">
        <f t="shared" si="1"/>
        <v>2</v>
      </c>
      <c r="K25" s="131" t="str">
        <f t="shared" si="2"/>
        <v/>
      </c>
      <c r="L25" s="134"/>
      <c r="M25" s="176"/>
      <c r="N25" s="108">
        <f>IF(R25=0,G25/F25,G25/F25*R25)*$L$13</f>
        <v>0</v>
      </c>
      <c r="O25" s="133">
        <f t="shared" si="0"/>
        <v>0</v>
      </c>
      <c r="P25" s="95" t="str">
        <f>IF(HELP!AF31="ANO","","!!!")</f>
        <v/>
      </c>
      <c r="Q25" s="94" t="str">
        <f>IF(HELP!AF31="ANO","","POZOR! Koeficient pro skupinu NV musí být na všech KÚ shodný!")</f>
        <v/>
      </c>
      <c r="R25" s="135" t="str">
        <f t="shared" si="3"/>
        <v>2</v>
      </c>
      <c r="S25" s="96"/>
      <c r="T25" s="117"/>
      <c r="U25" s="96"/>
      <c r="V25" s="37"/>
      <c r="W25" s="37"/>
      <c r="X25" s="37"/>
    </row>
    <row r="26" spans="1:27" ht="15" customHeight="1" thickBot="1" x14ac:dyDescent="0.3">
      <c r="A26" s="6" t="s">
        <v>18</v>
      </c>
      <c r="B26" s="49">
        <v>9</v>
      </c>
      <c r="C26" s="40"/>
      <c r="D26" s="50" t="s">
        <v>16</v>
      </c>
      <c r="E26" s="51" t="s">
        <v>16</v>
      </c>
      <c r="F26" s="52" t="str">
        <f>IF(VLOOKUP($B$7,Všechny_obce_koeficienty!$D$2:$U$1045,18,FALSE)="","1,0",VLOOKUP($B$7,Všechny_obce_koeficienty!$D$2:$U$1045,18,FALSE))</f>
        <v>2</v>
      </c>
      <c r="G26" s="127">
        <f>VLOOKUP($B$7,Obce_vynos!B3:AB1045,25,FALSE)</f>
        <v>0</v>
      </c>
      <c r="H26" s="40"/>
      <c r="I26" s="53" t="s">
        <v>16</v>
      </c>
      <c r="J26" s="52" t="str">
        <f t="shared" si="1"/>
        <v>2</v>
      </c>
      <c r="K26" s="52" t="str">
        <f t="shared" si="2"/>
        <v/>
      </c>
      <c r="L26" s="124"/>
      <c r="M26" s="176"/>
      <c r="N26" s="109">
        <f>IF(R26=0,G26/F26,G26/F26*R26)*$L$13</f>
        <v>0</v>
      </c>
      <c r="O26" s="110">
        <f t="shared" si="0"/>
        <v>0</v>
      </c>
      <c r="P26" s="95" t="str">
        <f>IF(HELP!AF34="ANO","","!!!")</f>
        <v/>
      </c>
      <c r="Q26" s="94" t="str">
        <f>IF(HELP!AF34="ANO","","POZOR! Koeficient pro skupinu NV musí být na všech KÚ shodný!")</f>
        <v/>
      </c>
      <c r="R26" s="135" t="str">
        <f t="shared" si="3"/>
        <v>2</v>
      </c>
      <c r="S26" s="96"/>
      <c r="T26" s="117"/>
      <c r="U26" s="96"/>
      <c r="V26" s="37"/>
      <c r="W26" s="37"/>
      <c r="X26" s="37"/>
    </row>
    <row r="27" spans="1:27" ht="5.0999999999999996" customHeight="1" thickBot="1" x14ac:dyDescent="0.3">
      <c r="A27" s="32"/>
      <c r="B27" s="54"/>
      <c r="C27" s="40"/>
      <c r="D27" s="55"/>
      <c r="E27" s="56"/>
      <c r="F27" s="56"/>
      <c r="G27" s="57"/>
      <c r="H27" s="40"/>
      <c r="I27" s="58"/>
      <c r="J27" s="38"/>
      <c r="K27" s="38"/>
      <c r="L27" s="38"/>
      <c r="M27" s="40"/>
      <c r="N27" s="59"/>
      <c r="O27" s="60"/>
      <c r="P27" s="95" t="str">
        <f>IFERROR(IF(AND(L27=#REF!,L27=#REF!,L27=#REF!,L27=#REF!,L27=#REF!,L27=#REF!,L27=#REF!,L27=#REF!,L27=#REF!,L27=#REF!,L27=#REF!,L27=#REF!),"","!!!"),IFERROR(IF(AND(L27=#REF!,L27=#REF!,L27=#REF!,L27=#REF!,L27=#REF!,L27=#REF!,L27=#REF!,L27=#REF!,L27=#REF!,L27=#REF!,L27=#REF!),"","!!!"),IFERROR(IF(AND(L27=#REF!,L27=#REF!,L27=#REF!,L27=#REF!,L27=#REF!,L27=#REF!,L27=#REF!,L27=#REF!,L27=#REF!,L27=#REF!),"","!!!"),IFERROR(IF(AND(L27=#REF!,L27=#REF!,L27=#REF!,L27=#REF!,L27=#REF!,L27=#REF!,L27=#REF!,L27=#REF!,L27=#REF!,),"","!!!"),IFERROR(IF(AND(L27=#REF!,L27=#REF!,L27=#REF!,L27=#REF!,L27=#REF!,L27=#REF!,L27=#REF!,L27=#REF!),"","!!!"),IFERROR(IF(AND(L27=#REF!,L27=#REF!,L27=#REF!,L27=#REF!,L27=#REF!,L27=#REF!,L27=#REF!),"","!!!"),IFERROR(IF(AND(L27=#REF!,L27=#REF!,L27=#REF!,L27=#REF!,L27=#REF!,L27=#REF!),"","!!!"),IFERROR(IF(AND(L27=#REF!,L27=#REF!,L27=#REF!,L27=#REF!,L27=#REF!),"","!!!"),IFERROR(IF(AND(L27=#REF!,L27=#REF!,L27=#REF!,L27=#REF!),"","!!!"),IFERROR(IF(AND(L27=#REF!,L27=#REF!,L27=#REF!),"","!!!"),IFERROR(IF(AND(L27=#REF!,L27=#REF!),"","!!!"),IFERROR(IF(AND(L27=#REF!),"","!!!"),""))))))))))))</f>
        <v/>
      </c>
      <c r="Q27" s="94" t="str">
        <f>IFERROR(IF(AND(L27=#REF!,L27=#REF!,L27=#REF!,L27=#REF!,L27=#REF!,L27=#REF!,L27=#REF!,L27=#REF!,L27=#REF!,L27=#REF!,L27=#REF!,L27=#REF!),"","POZOR! Koeficient pro skupinu NV musí být na všech KÚ shodný!"),IFERROR(IF(AND(L27=#REF!,L27=#REF!,L27=#REF!,L27=#REF!,L27=#REF!,L27=#REF!,L27=#REF!,L27=#REF!,L27=#REF!,L27=#REF!,L27=#REF!),"","POZOR! Koeficient pro skupinu NV musí být na všech KÚ shodný!"),IFERROR(IF(AND(L27=#REF!,L27=#REF!,L27=#REF!,L27=#REF!,L27=#REF!,L27=#REF!,L27=#REF!,L27=#REF!,L27=#REF!,L27=#REF!),"","POZOR! Koeficient pro skupinu NV musí být na všech KÚ shodný!"),IFERROR(IF(AND(L27=#REF!,L27=#REF!,L27=#REF!,L27=#REF!,L27=#REF!,L27=#REF!,L27=#REF!,L27=#REF!,L27=#REF!,),"","POZOR! Koeficient pro skupinu NV musí být na všech KÚ shodný!"),IFERROR(IF(AND(L27=#REF!,L27=#REF!,L27=#REF!,L27=#REF!,L27=#REF!,L27=#REF!,L27=#REF!,L27=#REF!),"","POZOR! Koeficient pro skupinu NV musí být na všech KÚ shodný!"),IFERROR(IF(AND(L27=#REF!,L27=#REF!,L27=#REF!,L27=#REF!,L27=#REF!,L27=#REF!,L27=#REF!),"","POZOR! Koeficient pro skupinu NV musí být na všech KÚ shodný!"),IFERROR(IF(AND(L27=#REF!,L27=#REF!,L27=#REF!,L27=#REF!,L27=#REF!,L27=#REF!),"","POZOR! Koeficient pro skupinu NV musí být na všech KÚ shodný!"),IFERROR(IF(AND(L27=#REF!,L27=#REF!,L27=#REF!,L27=#REF!,L27=#REF!),"","POZOR! Koeficient pro skupinu NV musí být na všech KÚ shodný!"),IFERROR(IF(AND(L27=#REF!,L27=#REF!,L27=#REF!,L27=#REF!),"","POZOR! Koeficient pro skupinu NV musí být na všech KÚ shodný!"),IFERROR(IF(AND(L27=#REF!,L27=#REF!,L27=#REF!),"","POZOR! Koeficient pro skupinu NV musí být na všech KÚ shodný!"),IFERROR(IF(AND(L27=#REF!,L27=#REF!),"","POZOR! Koeficient pro skupinu NV musí být na všech KÚ shodný!"),IFERROR(IF(AND(L27=#REF!),"","POZOR! Koeficient pro skupinu NV musí být na všech KÚ shodný!"),""))))))))))))</f>
        <v/>
      </c>
      <c r="R27" s="135" t="str">
        <f t="shared" si="3"/>
        <v>2</v>
      </c>
      <c r="S27" s="96"/>
      <c r="T27" s="117"/>
      <c r="U27" s="96"/>
      <c r="V27" s="37"/>
      <c r="W27" s="37"/>
      <c r="X27" s="37"/>
    </row>
    <row r="28" spans="1:27" ht="30" x14ac:dyDescent="0.25">
      <c r="A28" s="7" t="s">
        <v>74</v>
      </c>
      <c r="B28" s="61">
        <v>3.5</v>
      </c>
      <c r="C28" s="40"/>
      <c r="D28" s="130">
        <f>IF(VLOOKUP($B$7,Všechny_obce_koeficienty!$D$2:$U$1045,4,FALSE)="",1,VLOOKUP($B$7,Všechny_obce_koeficienty!$D$2:$U$1045,4,FALSE))</f>
        <v>1.4</v>
      </c>
      <c r="E28" s="62" t="s">
        <v>16</v>
      </c>
      <c r="F28" s="63" t="str">
        <f>IF(VLOOKUP($B$7,Všechny_obce_koeficienty!$D$2:$U$1045,18,FALSE)="","1,0",VLOOKUP($B$7,Všechny_obce_koeficienty!$D$2:$U$1045,18,FALSE))</f>
        <v>2</v>
      </c>
      <c r="G28" s="64">
        <f>VLOOKUP($B$7,Obce_vynos!B3:AB1045,8,FALSE)+VLOOKUP($B$7,Obce_vynos!B3:AB1045,9,FALSE)</f>
        <v>96224</v>
      </c>
      <c r="H28" s="40"/>
      <c r="I28" s="120">
        <v>1.4</v>
      </c>
      <c r="J28" s="63" t="str">
        <f t="shared" si="1"/>
        <v>2</v>
      </c>
      <c r="K28" s="63" t="str">
        <f t="shared" si="2"/>
        <v/>
      </c>
      <c r="L28" s="125"/>
      <c r="M28" s="176"/>
      <c r="N28" s="111">
        <f>IF(R28=0,G28/D28*I28/F28,G28/D28*I28/F28*R28)*$L$13</f>
        <v>96224</v>
      </c>
      <c r="O28" s="112">
        <f>N28-G28</f>
        <v>0</v>
      </c>
      <c r="P28" s="95" t="str">
        <f>IF(HELP!AF37="ANO","","!!!")</f>
        <v/>
      </c>
      <c r="Q28" s="94" t="str">
        <f>IF(HELP!AF37="ANO","","POZOR! Koeficient pro skupinu NV musí být na všech KÚ shodný!")</f>
        <v/>
      </c>
      <c r="R28" s="135" t="str">
        <f t="shared" si="3"/>
        <v>2</v>
      </c>
      <c r="S28" s="117">
        <f>IF(O5&lt;=1000,Koef!I11,IF(O5&lt;=6000,Koef!J12,IF(O5&lt;=10000,Koef!K13,IF(O5&lt;=25000,Koef!L14,IF(O5&lt;=50000,Koef!L15,Koef!L16)))))</f>
        <v>1.4</v>
      </c>
      <c r="T28" s="117">
        <f>IF(S28&gt;=D28,S28,D28)</f>
        <v>1.4</v>
      </c>
      <c r="U28" s="96"/>
      <c r="V28" s="37"/>
      <c r="W28" s="37"/>
      <c r="X28" s="37"/>
    </row>
    <row r="29" spans="1:27" ht="30" customHeight="1" x14ac:dyDescent="0.25">
      <c r="A29" s="5" t="s">
        <v>75</v>
      </c>
      <c r="B29" s="46">
        <v>3.5</v>
      </c>
      <c r="C29" s="40"/>
      <c r="D29" s="130">
        <f>IF(VLOOKUP($B$7,Všechny_obce_koeficienty!$D$2:$U$1045,12,FALSE)="",1,VLOOKUP($B$7,Všechny_obce_koeficienty!$D$2:$U$1045,12,FALSE))</f>
        <v>1.4</v>
      </c>
      <c r="E29" s="45" t="s">
        <v>16</v>
      </c>
      <c r="F29" s="131" t="str">
        <f>IF(VLOOKUP($B$7,Všechny_obce_koeficienty!$D$2:$U$1045,18,FALSE)="","1,0",VLOOKUP($B$7,Všechny_obce_koeficienty!$D$2:$U$1045,18,FALSE))</f>
        <v>2</v>
      </c>
      <c r="G29" s="126">
        <f>VLOOKUP($B$7,Obce_vynos!B3:AB1045,18,FALSE)+VLOOKUP($B$7,Obce_vynos!B3:AB1045,26,FALSE)</f>
        <v>3356</v>
      </c>
      <c r="H29" s="40"/>
      <c r="I29" s="120">
        <v>1.4</v>
      </c>
      <c r="J29" s="131" t="str">
        <f t="shared" si="1"/>
        <v>2</v>
      </c>
      <c r="K29" s="131" t="str">
        <f t="shared" si="2"/>
        <v/>
      </c>
      <c r="L29" s="134"/>
      <c r="M29" s="176"/>
      <c r="N29" s="108">
        <f>IF(R29=0,G29/D29*I29/F29,G29/D29*I29/F29*R29)*$L$13</f>
        <v>3356</v>
      </c>
      <c r="O29" s="133">
        <f>N29-G29</f>
        <v>0</v>
      </c>
      <c r="P29" s="95" t="str">
        <f>IF(HELP!AF40="ANO","","!!!")</f>
        <v/>
      </c>
      <c r="Q29" s="94" t="str">
        <f>IF(HELP!AF40="ANO","","POZOR! Koeficient pro skupinu NV musí být na všech KÚ shodný!")</f>
        <v/>
      </c>
      <c r="R29" s="135" t="str">
        <f t="shared" si="3"/>
        <v>2</v>
      </c>
      <c r="S29" s="117">
        <f>IF(O5&lt;=1000,Koef!I11,IF(O5&lt;=6000,Koef!J12,IF(O5&lt;=10000,Koef!K13,IF(O5&lt;=25000,Koef!L14,IF(O5&lt;=50000,Koef!L15,Koef!L16)))))</f>
        <v>1.4</v>
      </c>
      <c r="T29" s="117">
        <f>IF(S29&gt;=D29,S29,D29)</f>
        <v>1.4</v>
      </c>
      <c r="U29" s="117"/>
      <c r="V29" s="37"/>
      <c r="W29" s="37"/>
      <c r="X29" s="37"/>
    </row>
    <row r="30" spans="1:27" ht="15" customHeight="1" x14ac:dyDescent="0.25">
      <c r="A30" s="155" t="s">
        <v>76</v>
      </c>
      <c r="B30" s="46">
        <v>11</v>
      </c>
      <c r="C30" s="40"/>
      <c r="D30" s="236" t="s">
        <v>16</v>
      </c>
      <c r="E30" s="151">
        <f>IF(VLOOKUP($B$7,Všechny_obce_koeficienty!$D$2:$U$1045,6,FALSE)=1.5,1.5,IF(VLOOKUP($B$7,Všechny_obce_koeficienty!$D$2:$U$1045,6,FALSE)=3,1.5,1))</f>
        <v>1.5</v>
      </c>
      <c r="F30" s="151" t="str">
        <f>IF(VLOOKUP($B$7,Všechny_obce_koeficienty!$D$2:$U$1045,18,FALSE)="","1,0",VLOOKUP($B$7,Všechny_obce_koeficienty!$D$2:$U$1045,18,FALSE))</f>
        <v>2</v>
      </c>
      <c r="G30" s="245">
        <f>VLOOKUP($B$7,Obce_vynos!B3:AB1045,10,FALSE)+VLOOKUP($B$7,Obce_vynos!B3:AB1045,11,FALSE)</f>
        <v>42908</v>
      </c>
      <c r="H30" s="40"/>
      <c r="I30" s="149" t="s">
        <v>16</v>
      </c>
      <c r="J30" s="151" t="str">
        <f t="shared" si="1"/>
        <v>2</v>
      </c>
      <c r="K30" s="151" t="str">
        <f t="shared" si="2"/>
        <v/>
      </c>
      <c r="L30" s="172">
        <v>5</v>
      </c>
      <c r="M30" s="176"/>
      <c r="N30" s="160">
        <f>IF(R30=0,G30/F30/E30,G30/F30/E30*R30)*$L$13</f>
        <v>71513.333333333328</v>
      </c>
      <c r="O30" s="162">
        <f>N30-G30</f>
        <v>28605.333333333328</v>
      </c>
      <c r="P30" s="153" t="str">
        <f>IF(HELP!AF43="ANO","","!!!")</f>
        <v/>
      </c>
      <c r="Q30" s="154" t="str">
        <f>IF(HELP!AF43="ANO","","POZOR! Koeficient pro skupinu NV musí být na všech KÚ shodný!")</f>
        <v/>
      </c>
      <c r="R30" s="164">
        <f t="shared" si="3"/>
        <v>5</v>
      </c>
      <c r="S30" s="97"/>
      <c r="T30" s="117"/>
      <c r="U30" s="97"/>
      <c r="V30" s="100"/>
      <c r="W30" s="100"/>
      <c r="X30" s="100"/>
    </row>
    <row r="31" spans="1:27" ht="15" customHeight="1" x14ac:dyDescent="0.25">
      <c r="A31" s="156"/>
      <c r="B31" s="65">
        <v>3.5</v>
      </c>
      <c r="C31" s="40"/>
      <c r="D31" s="237"/>
      <c r="E31" s="152"/>
      <c r="F31" s="152"/>
      <c r="G31" s="246"/>
      <c r="H31" s="40"/>
      <c r="I31" s="150"/>
      <c r="J31" s="152"/>
      <c r="K31" s="152"/>
      <c r="L31" s="173"/>
      <c r="M31" s="176"/>
      <c r="N31" s="161"/>
      <c r="O31" s="163"/>
      <c r="P31" s="153"/>
      <c r="Q31" s="154"/>
      <c r="R31" s="164"/>
      <c r="S31" s="97"/>
      <c r="T31" s="97"/>
      <c r="U31" s="97"/>
      <c r="V31" s="100"/>
      <c r="W31" s="100"/>
      <c r="X31" s="100"/>
    </row>
    <row r="32" spans="1:27" ht="15.75" customHeight="1" x14ac:dyDescent="0.25">
      <c r="A32" s="155" t="s">
        <v>103</v>
      </c>
      <c r="B32" s="247">
        <v>14.5</v>
      </c>
      <c r="C32" s="66"/>
      <c r="D32" s="157" t="s">
        <v>16</v>
      </c>
      <c r="E32" s="131">
        <f>IF(VLOOKUP($B$7,Všechny_obce_koeficienty!$D$2:$U$1045,8,FALSE)="","1,0",VLOOKUP($B$7,Všechny_obce_koeficienty!$D$2:$U$1045,8,FALSE))</f>
        <v>1.5</v>
      </c>
      <c r="F32" s="151" t="str">
        <f>IF(VLOOKUP($B$7,Všechny_obce_koeficienty!$D$2:$U$1045,18,FALSE)="","1,0",VLOOKUP($B$7,Všechny_obce_koeficienty!$D$2:$U$1045,18,FALSE))</f>
        <v>2</v>
      </c>
      <c r="G32" s="126">
        <f>VLOOKUP($B$7,Obce_vynos!B3:AB1045,12,FALSE)</f>
        <v>5614</v>
      </c>
      <c r="H32" s="67"/>
      <c r="I32" s="149" t="s">
        <v>16</v>
      </c>
      <c r="J32" s="151" t="str">
        <f t="shared" si="1"/>
        <v>2</v>
      </c>
      <c r="K32" s="151" t="str">
        <f t="shared" si="2"/>
        <v/>
      </c>
      <c r="L32" s="172">
        <v>3</v>
      </c>
      <c r="M32" s="176"/>
      <c r="N32" s="160">
        <f>(IF(R32=0,G32/F32/E32,G32/F32/E32*R32)*$L$13)+(IF(R32=0,G33/F32/E33,G33/F32/E33*R32)*$L$13)</f>
        <v>5614</v>
      </c>
      <c r="O32" s="162">
        <f>N32-G32-G33</f>
        <v>0</v>
      </c>
      <c r="P32" s="153" t="str">
        <f>IF(HELP!AF46="ANO","","!!!")</f>
        <v/>
      </c>
      <c r="Q32" s="154" t="str">
        <f>IF(HELP!AF46="ANO","","POZOR! Koeficient pro skupinu NV musí být na všech KÚ shodný!")</f>
        <v/>
      </c>
      <c r="R32" s="159">
        <f>IF(IF(L32&gt;=$K$7,L32,IF(L32="",$K$7,IF($K$7="",$J$7,$K$7)))=0,$J$7,IF(L32&gt;=$K$7,L32,IF(L32="",$K$7,IF($K$7="",$J$7,$K$7))))</f>
        <v>3</v>
      </c>
      <c r="S32" s="96"/>
      <c r="T32" s="96"/>
      <c r="U32" s="98"/>
      <c r="V32" s="101"/>
      <c r="W32" s="101"/>
      <c r="X32" s="37"/>
      <c r="Y32" s="35"/>
      <c r="Z32" s="35"/>
      <c r="AA32" s="35"/>
    </row>
    <row r="33" spans="1:27" ht="15.75" x14ac:dyDescent="0.25">
      <c r="A33" s="156"/>
      <c r="B33" s="248"/>
      <c r="C33" s="40"/>
      <c r="D33" s="158"/>
      <c r="E33" s="131" t="str">
        <f>IF(VLOOKUP($B$7,Všechny_obce_koeficienty!$D$2:$U$1045,16,FALSE)="","1,0",VLOOKUP($B$7,Všechny_obce_koeficienty!$D$2:$U$1045,16,FALSE))</f>
        <v>1,0</v>
      </c>
      <c r="F33" s="152"/>
      <c r="G33" s="126">
        <f>VLOOKUP($B$7,Obce_vynos!B3:AB1045,22,FALSE)</f>
        <v>0</v>
      </c>
      <c r="H33" s="40"/>
      <c r="I33" s="150"/>
      <c r="J33" s="152"/>
      <c r="K33" s="152"/>
      <c r="L33" s="173"/>
      <c r="M33" s="176"/>
      <c r="N33" s="161"/>
      <c r="O33" s="163"/>
      <c r="P33" s="153"/>
      <c r="Q33" s="154"/>
      <c r="R33" s="159"/>
      <c r="S33" s="96"/>
      <c r="T33" s="96"/>
      <c r="U33" s="98"/>
      <c r="V33" s="101"/>
      <c r="W33" s="101"/>
      <c r="X33" s="37"/>
      <c r="Y33" s="35"/>
      <c r="Z33" s="35"/>
      <c r="AA33" s="35"/>
    </row>
    <row r="34" spans="1:27" ht="15.75" customHeight="1" x14ac:dyDescent="0.25">
      <c r="A34" s="155" t="s">
        <v>104</v>
      </c>
      <c r="B34" s="247">
        <v>3.5</v>
      </c>
      <c r="C34" s="40"/>
      <c r="D34" s="157" t="s">
        <v>16</v>
      </c>
      <c r="E34" s="131">
        <f>IF(VLOOKUP($B$7,Všechny_obce_koeficienty!$D$2:$U$1045,9,FALSE)="","1,0",VLOOKUP($B$7,Všechny_obce_koeficienty!$D$2:$U$1045,9,FALSE))</f>
        <v>1.5</v>
      </c>
      <c r="F34" s="151" t="str">
        <f>IF(VLOOKUP($B$7,Všechny_obce_koeficienty!$D$2:$U$1045,18,FALSE)="","1,0",VLOOKUP($B$7,Všechny_obce_koeficienty!$D$2:$U$1045,18,FALSE))</f>
        <v>2</v>
      </c>
      <c r="G34" s="126">
        <f>VLOOKUP($B$7,Obce_vynos!B3:AB1045,13,FALSE)</f>
        <v>600</v>
      </c>
      <c r="H34" s="40"/>
      <c r="I34" s="149" t="s">
        <v>16</v>
      </c>
      <c r="J34" s="151" t="str">
        <f t="shared" si="1"/>
        <v>2</v>
      </c>
      <c r="K34" s="151" t="str">
        <f t="shared" si="2"/>
        <v/>
      </c>
      <c r="L34" s="172">
        <v>3</v>
      </c>
      <c r="M34" s="176"/>
      <c r="N34" s="160">
        <f>IF(R34=0,G34/F34/E34,G34/F34/E34*R34)*$L$13+IF(R34=0,G35/F34/E35,G35/F34/E35*R34)*$L$13</f>
        <v>600</v>
      </c>
      <c r="O34" s="162">
        <f>N34-G34-G35</f>
        <v>0</v>
      </c>
      <c r="P34" s="153" t="str">
        <f>IF(HELP!AF49="ANO","","!!!")</f>
        <v/>
      </c>
      <c r="Q34" s="154" t="str">
        <f>IF(HELP!AF49="ANO","","POZOR! Koeficient pro skupinu NV musí být na všech KÚ shodný!")</f>
        <v/>
      </c>
      <c r="R34" s="164">
        <f t="shared" si="3"/>
        <v>3</v>
      </c>
      <c r="S34" s="96"/>
      <c r="T34" s="96"/>
      <c r="U34" s="96"/>
      <c r="V34" s="37"/>
      <c r="W34" s="37"/>
      <c r="X34" s="37"/>
    </row>
    <row r="35" spans="1:27" ht="15.75" customHeight="1" x14ac:dyDescent="0.25">
      <c r="A35" s="156"/>
      <c r="B35" s="248"/>
      <c r="C35" s="40"/>
      <c r="D35" s="158"/>
      <c r="E35" s="131" t="str">
        <f>IF(VLOOKUP($B$7,Všechny_obce_koeficienty!$D$2:$U$1045,13,FALSE)="","1,0",VLOOKUP($B$7,Všechny_obce_koeficienty!$D$2:$U$1045,13,FALSE))</f>
        <v>1,0</v>
      </c>
      <c r="F35" s="152"/>
      <c r="G35" s="126">
        <f>VLOOKUP($B$7,Obce_vynos!B3:AB1045,19,FALSE)</f>
        <v>0</v>
      </c>
      <c r="H35" s="40"/>
      <c r="I35" s="150"/>
      <c r="J35" s="152"/>
      <c r="K35" s="152"/>
      <c r="L35" s="173"/>
      <c r="M35" s="176"/>
      <c r="N35" s="161"/>
      <c r="O35" s="163"/>
      <c r="P35" s="153"/>
      <c r="Q35" s="154"/>
      <c r="R35" s="164"/>
      <c r="S35" s="96"/>
      <c r="T35" s="96"/>
      <c r="U35" s="96"/>
      <c r="V35" s="37"/>
      <c r="W35" s="37"/>
      <c r="X35" s="37"/>
    </row>
    <row r="36" spans="1:27" ht="15.75" customHeight="1" x14ac:dyDescent="0.25">
      <c r="A36" s="155" t="s">
        <v>105</v>
      </c>
      <c r="B36" s="247">
        <v>18</v>
      </c>
      <c r="C36" s="40"/>
      <c r="D36" s="157" t="s">
        <v>16</v>
      </c>
      <c r="E36" s="131" t="str">
        <f>IF(VLOOKUP($B$7,Všechny_obce_koeficienty!$D$2:$U$1045,10,FALSE)="","1,0",VLOOKUP($B$7,Všechny_obce_koeficienty!$D$2:$U$1045,10,FALSE))</f>
        <v>1,0</v>
      </c>
      <c r="F36" s="151" t="str">
        <f>IF(VLOOKUP($B$7,Všechny_obce_koeficienty!$D$2:$U$1045,18,FALSE)="","1,0",VLOOKUP($B$7,Všechny_obce_koeficienty!$D$2:$U$1045,18,FALSE))</f>
        <v>2</v>
      </c>
      <c r="G36" s="126">
        <f>VLOOKUP($B$7,Obce_vynos!B3:AB1045,14,FALSE)</f>
        <v>0</v>
      </c>
      <c r="H36" s="40"/>
      <c r="I36" s="149" t="s">
        <v>16</v>
      </c>
      <c r="J36" s="151" t="str">
        <f t="shared" si="1"/>
        <v>2</v>
      </c>
      <c r="K36" s="151" t="str">
        <f t="shared" si="2"/>
        <v/>
      </c>
      <c r="L36" s="172">
        <v>3</v>
      </c>
      <c r="M36" s="176"/>
      <c r="N36" s="160">
        <f>IF(R36=0,G36/F36/E36,G36/F36/E36*R36)*$L$13+IF(R36=0,G37/F36/E37,G37/F36/E37*R36)*$L$13</f>
        <v>0</v>
      </c>
      <c r="O36" s="162">
        <f>N36-G36-G37</f>
        <v>0</v>
      </c>
      <c r="P36" s="153" t="str">
        <f>IF(HELP!AF52="ANO","","!!!")</f>
        <v/>
      </c>
      <c r="Q36" s="154" t="str">
        <f>IF(HELP!AF52="ANO","","POZOR! Koeficient pro skupinu NV musí být na všech KÚ shodný!")</f>
        <v/>
      </c>
      <c r="R36" s="164">
        <f t="shared" si="3"/>
        <v>3</v>
      </c>
      <c r="S36" s="96"/>
      <c r="T36" s="96"/>
      <c r="U36" s="96"/>
      <c r="V36" s="37"/>
      <c r="W36" s="37"/>
      <c r="X36" s="37"/>
    </row>
    <row r="37" spans="1:27" ht="15.75" customHeight="1" x14ac:dyDescent="0.25">
      <c r="A37" s="156"/>
      <c r="B37" s="248"/>
      <c r="C37" s="40"/>
      <c r="D37" s="158"/>
      <c r="E37" s="131" t="str">
        <f>IF(VLOOKUP($B$7,Všechny_obce_koeficienty!$D$2:$U$1045,14,FALSE)="","1,0",VLOOKUP($B$7,Všechny_obce_koeficienty!$D$2:$U$1045,14,FALSE))</f>
        <v>1,0</v>
      </c>
      <c r="F37" s="152"/>
      <c r="G37" s="126">
        <f>VLOOKUP($B$7,Obce_vynos!B3:AB1045,20,FALSE)</f>
        <v>0</v>
      </c>
      <c r="H37" s="40"/>
      <c r="I37" s="150"/>
      <c r="J37" s="152"/>
      <c r="K37" s="152"/>
      <c r="L37" s="173"/>
      <c r="M37" s="176"/>
      <c r="N37" s="161"/>
      <c r="O37" s="163"/>
      <c r="P37" s="153"/>
      <c r="Q37" s="154"/>
      <c r="R37" s="164"/>
      <c r="S37" s="96"/>
      <c r="T37" s="96"/>
      <c r="U37" s="96"/>
      <c r="V37" s="37"/>
      <c r="W37" s="37"/>
      <c r="X37" s="37"/>
    </row>
    <row r="38" spans="1:27" ht="15.75" customHeight="1" x14ac:dyDescent="0.25">
      <c r="A38" s="155" t="s">
        <v>106</v>
      </c>
      <c r="B38" s="247">
        <v>18</v>
      </c>
      <c r="C38" s="40"/>
      <c r="D38" s="157" t="s">
        <v>16</v>
      </c>
      <c r="E38" s="131" t="str">
        <f>IF(VLOOKUP($B$7,Všechny_obce_koeficienty!$D$2:$U$1045,11,FALSE)="","1,0",VLOOKUP($B$7,Všechny_obce_koeficienty!$D$2:$U$1045,11,FALSE))</f>
        <v>1,0</v>
      </c>
      <c r="F38" s="151" t="str">
        <f>IF(VLOOKUP($B$7,Všechny_obce_koeficienty!$D$2:$U$1045,18,FALSE)="","1,0",VLOOKUP($B$7,Všechny_obce_koeficienty!$D$2:$U$1045,18,FALSE))</f>
        <v>2</v>
      </c>
      <c r="G38" s="126">
        <f>VLOOKUP($B$7,Obce_vynos!B3:AB1045,15,FALSE)</f>
        <v>0</v>
      </c>
      <c r="H38" s="40"/>
      <c r="I38" s="149" t="s">
        <v>16</v>
      </c>
      <c r="J38" s="151" t="str">
        <f t="shared" si="1"/>
        <v>2</v>
      </c>
      <c r="K38" s="151" t="str">
        <f t="shared" si="2"/>
        <v/>
      </c>
      <c r="L38" s="172">
        <v>3</v>
      </c>
      <c r="M38" s="176"/>
      <c r="N38" s="160">
        <f>IF(R38=0,G38/F38/E38,G38/F38/E38*R38)*$L$13+IF(R38=0,G39/F38/E39,G39/F38/E39*R38)*$L$13</f>
        <v>0</v>
      </c>
      <c r="O38" s="162">
        <f>N38-G38-G39</f>
        <v>0</v>
      </c>
      <c r="P38" s="153" t="str">
        <f>IF(HELP!AF55="ANO","","!!!")</f>
        <v/>
      </c>
      <c r="Q38" s="154" t="str">
        <f>IF(HELP!AF55="ANO","","POZOR! Koeficient pro skupinu NV musí být na všech KÚ shodný!")</f>
        <v/>
      </c>
      <c r="R38" s="165">
        <f>IF(IF(L38&gt;=$K$7,L38,IF(L38="",$K$7,IF($K$7="",$J$7,$K$7)))=0,$J$7,IF(L38&gt;=$K$7,L38,IF(L38="",$K$7,IF($K$7="",$J$7,$K$7))))</f>
        <v>3</v>
      </c>
      <c r="S38" s="96"/>
      <c r="T38" s="96"/>
      <c r="U38" s="96"/>
      <c r="V38" s="37"/>
      <c r="W38" s="37"/>
      <c r="X38" s="37"/>
    </row>
    <row r="39" spans="1:27" ht="15.75" x14ac:dyDescent="0.25">
      <c r="A39" s="156"/>
      <c r="B39" s="248"/>
      <c r="C39" s="40"/>
      <c r="D39" s="158"/>
      <c r="E39" s="132" t="str">
        <f>IF(VLOOKUP($B$7,Všechny_obce_koeficienty!$D$2:$U$1045,15,FALSE)="","1,0",VLOOKUP($B$7,Všechny_obce_koeficienty!$D$2:$U$1045,15,FALSE))</f>
        <v>1,0</v>
      </c>
      <c r="F39" s="152"/>
      <c r="G39" s="116">
        <f>VLOOKUP($B$7,Obce_vynos!B3:AB1045,21,FALSE)</f>
        <v>0</v>
      </c>
      <c r="H39" s="40"/>
      <c r="I39" s="150"/>
      <c r="J39" s="152"/>
      <c r="K39" s="152"/>
      <c r="L39" s="173"/>
      <c r="M39" s="176"/>
      <c r="N39" s="161"/>
      <c r="O39" s="163"/>
      <c r="P39" s="153"/>
      <c r="Q39" s="154"/>
      <c r="R39" s="165"/>
      <c r="S39" s="96"/>
      <c r="T39" s="96"/>
      <c r="U39" s="96"/>
      <c r="V39" s="37"/>
      <c r="W39" s="37"/>
      <c r="X39" s="37"/>
    </row>
    <row r="40" spans="1:27" ht="15" customHeight="1" thickBot="1" x14ac:dyDescent="0.3">
      <c r="A40" s="6" t="s">
        <v>11</v>
      </c>
      <c r="B40" s="49">
        <v>11</v>
      </c>
      <c r="C40" s="40"/>
      <c r="D40" s="50" t="s">
        <v>16</v>
      </c>
      <c r="E40" s="68" t="s">
        <v>16</v>
      </c>
      <c r="F40" s="52" t="str">
        <f>IF(VLOOKUP($B$7,Všechny_obce_koeficienty!$D$2:$U$1045,18,FALSE)="","1,0",VLOOKUP($B$7,Všechny_obce_koeficienty!$D$2:$U$1045,18,FALSE))</f>
        <v>2</v>
      </c>
      <c r="G40" s="127">
        <f>VLOOKUP($B$7,Obce_vynos!B3:AB1045,16,FALSE)</f>
        <v>8074</v>
      </c>
      <c r="H40" s="40"/>
      <c r="I40" s="69" t="s">
        <v>16</v>
      </c>
      <c r="J40" s="52" t="str">
        <f t="shared" si="1"/>
        <v>2</v>
      </c>
      <c r="K40" s="52" t="str">
        <f t="shared" si="2"/>
        <v/>
      </c>
      <c r="L40" s="124"/>
      <c r="M40" s="176"/>
      <c r="N40" s="109">
        <f>IF(R40=0,G40/F40,G40/F40*R40)*$L$13</f>
        <v>8074</v>
      </c>
      <c r="O40" s="110">
        <f>N40-G40</f>
        <v>0</v>
      </c>
      <c r="P40" s="95" t="str">
        <f>IF(HELP!AF58="ANO","","!!!")</f>
        <v/>
      </c>
      <c r="Q40" s="94" t="str">
        <f>IF(HELP!AF58="ANO","","POZOR! Koeficient pro skupinu NV musí být na všech KÚ shodný!")</f>
        <v/>
      </c>
      <c r="R40" s="135" t="str">
        <f t="shared" si="3"/>
        <v>2</v>
      </c>
      <c r="S40" s="96"/>
      <c r="T40" s="96"/>
      <c r="U40" s="96"/>
      <c r="V40" s="37"/>
      <c r="W40" s="37"/>
      <c r="X40" s="37"/>
    </row>
    <row r="41" spans="1:27" ht="15.75" thickBot="1" x14ac:dyDescent="0.3">
      <c r="A41" s="3"/>
      <c r="G41" s="8"/>
      <c r="I41" s="235"/>
      <c r="J41" s="235"/>
      <c r="K41" s="235"/>
      <c r="L41" s="235"/>
      <c r="M41" s="235"/>
      <c r="N41" s="235"/>
      <c r="O41" s="235"/>
      <c r="R41" s="37"/>
      <c r="S41" s="37"/>
      <c r="T41" s="37"/>
      <c r="U41" s="37"/>
      <c r="V41" s="37"/>
      <c r="W41" s="37"/>
      <c r="X41" s="37"/>
    </row>
    <row r="42" spans="1:27" ht="20.25" thickBot="1" x14ac:dyDescent="0.35">
      <c r="A42" s="243" t="s">
        <v>12</v>
      </c>
      <c r="B42" s="244"/>
      <c r="C42" s="75"/>
      <c r="D42" s="75"/>
      <c r="E42" s="75"/>
      <c r="F42" s="75"/>
      <c r="G42" s="76">
        <f>SUM(G17:G26)+SUM(G28:G40)</f>
        <v>254206</v>
      </c>
      <c r="H42" s="75"/>
      <c r="I42" s="75"/>
      <c r="J42" s="75"/>
      <c r="K42" s="75"/>
      <c r="L42" s="75"/>
      <c r="M42" s="75"/>
      <c r="N42" s="113">
        <f>N17+N18+N19+N20+N21+N22+N23+N24+N25+N26+N28+N29+N30+N32+N34+N36+N38+N40</f>
        <v>282811.33333333331</v>
      </c>
      <c r="O42" s="114">
        <f>N42-G42</f>
        <v>28605.333333333314</v>
      </c>
      <c r="R42" s="37"/>
      <c r="S42" s="37"/>
      <c r="T42" s="37"/>
      <c r="U42" s="37"/>
      <c r="V42" s="37"/>
      <c r="W42" s="37"/>
      <c r="X42" s="37"/>
    </row>
    <row r="43" spans="1:27" x14ac:dyDescent="0.25">
      <c r="R43" s="37"/>
      <c r="S43" s="37"/>
      <c r="T43" s="37"/>
      <c r="U43" s="37"/>
      <c r="V43" s="37"/>
      <c r="W43" s="37"/>
      <c r="X43" s="37"/>
    </row>
    <row r="44" spans="1:27" x14ac:dyDescent="0.25">
      <c r="R44" s="37"/>
      <c r="S44" s="37"/>
      <c r="T44" s="37"/>
      <c r="U44" s="37"/>
      <c r="V44" s="37"/>
      <c r="W44" s="37"/>
      <c r="X44" s="37"/>
    </row>
    <row r="45" spans="1:27" ht="18.75" x14ac:dyDescent="0.25">
      <c r="A45" s="233" t="s">
        <v>13</v>
      </c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R45" s="37"/>
      <c r="S45" s="37"/>
      <c r="T45" s="37"/>
      <c r="U45" s="37"/>
      <c r="V45" s="37"/>
      <c r="W45" s="37"/>
      <c r="X45" s="37"/>
    </row>
    <row r="46" spans="1:27" ht="5.0999999999999996" customHeight="1" thickBot="1" x14ac:dyDescent="0.3">
      <c r="R46" s="37"/>
      <c r="S46" s="37"/>
      <c r="T46" s="37"/>
      <c r="U46" s="37"/>
      <c r="V46" s="37"/>
      <c r="W46" s="37"/>
      <c r="X46" s="37"/>
    </row>
    <row r="47" spans="1:27" ht="56.25" customHeight="1" x14ac:dyDescent="0.25">
      <c r="A47" s="264" t="s">
        <v>15</v>
      </c>
      <c r="B47" s="265"/>
      <c r="C47" s="40"/>
      <c r="D47" s="268" t="s">
        <v>21</v>
      </c>
      <c r="E47" s="269"/>
      <c r="F47" s="269"/>
      <c r="G47" s="270"/>
      <c r="H47" s="77"/>
      <c r="I47" s="177" t="s">
        <v>83</v>
      </c>
      <c r="J47" s="178"/>
      <c r="K47" s="178" t="s">
        <v>20</v>
      </c>
      <c r="L47" s="206"/>
      <c r="M47" s="78"/>
      <c r="N47" s="86" t="s">
        <v>86</v>
      </c>
      <c r="O47" s="258" t="s">
        <v>20</v>
      </c>
      <c r="P47" s="2"/>
      <c r="R47" s="37"/>
      <c r="S47" s="37"/>
      <c r="T47" s="37"/>
      <c r="U47" s="37"/>
      <c r="V47" s="37"/>
    </row>
    <row r="48" spans="1:27" ht="35.25" customHeight="1" thickBot="1" x14ac:dyDescent="0.3">
      <c r="A48" s="266"/>
      <c r="B48" s="267"/>
      <c r="C48" s="40"/>
      <c r="D48" s="261" t="str">
        <f>Koef!B3</f>
        <v>Zdaňovací období roku 2024</v>
      </c>
      <c r="E48" s="262"/>
      <c r="F48" s="262"/>
      <c r="G48" s="263"/>
      <c r="H48" s="77"/>
      <c r="I48" s="179" t="s">
        <v>72</v>
      </c>
      <c r="J48" s="180"/>
      <c r="K48" s="180"/>
      <c r="L48" s="223"/>
      <c r="M48" s="79"/>
      <c r="N48" s="80" t="s">
        <v>72</v>
      </c>
      <c r="O48" s="259"/>
      <c r="P48" s="2"/>
      <c r="R48" s="96"/>
      <c r="S48" s="96"/>
      <c r="T48" s="96"/>
      <c r="U48" s="96"/>
    </row>
    <row r="49" spans="1:21" ht="18" thickTop="1" x14ac:dyDescent="0.25">
      <c r="A49" s="186" t="s">
        <v>88</v>
      </c>
      <c r="B49" s="187"/>
      <c r="C49" s="40"/>
      <c r="D49" s="249">
        <f>150*B28*D28*F28</f>
        <v>1470</v>
      </c>
      <c r="E49" s="250"/>
      <c r="F49" s="250"/>
      <c r="G49" s="251"/>
      <c r="H49" s="40"/>
      <c r="I49" s="260">
        <f>150*B28*T28*F28</f>
        <v>1470</v>
      </c>
      <c r="J49" s="256"/>
      <c r="K49" s="256">
        <f>I49-D49</f>
        <v>0</v>
      </c>
      <c r="L49" s="257"/>
      <c r="M49" s="81"/>
      <c r="N49" s="93">
        <f>IF(R28=0,150*B28*I28*F28,150*B28*I28*R28)</f>
        <v>1470</v>
      </c>
      <c r="O49" s="82">
        <f t="shared" ref="O49:O57" si="4">N49-D49</f>
        <v>0</v>
      </c>
      <c r="R49" s="96"/>
      <c r="S49" s="96"/>
      <c r="T49" s="96"/>
      <c r="U49" s="96"/>
    </row>
    <row r="50" spans="1:21" ht="17.25" x14ac:dyDescent="0.25">
      <c r="A50" s="181" t="s">
        <v>89</v>
      </c>
      <c r="B50" s="182"/>
      <c r="C50" s="40"/>
      <c r="D50" s="183">
        <f>60*1.22*B29*D29*F29</f>
        <v>717.3599999999999</v>
      </c>
      <c r="E50" s="184"/>
      <c r="F50" s="184"/>
      <c r="G50" s="185"/>
      <c r="H50" s="40"/>
      <c r="I50" s="224">
        <f>60*1.22*B29*T29*F29</f>
        <v>717.3599999999999</v>
      </c>
      <c r="J50" s="225"/>
      <c r="K50" s="225">
        <f t="shared" ref="K50:K57" si="5">I50-D50</f>
        <v>0</v>
      </c>
      <c r="L50" s="254"/>
      <c r="M50" s="83"/>
      <c r="N50" s="91">
        <f>IF(R29=0,60*1.22*B29*I29*F29,60*1.22*B29*I29*R29)</f>
        <v>717.3599999999999</v>
      </c>
      <c r="O50" s="84">
        <f t="shared" si="4"/>
        <v>0</v>
      </c>
      <c r="S50" s="37"/>
      <c r="T50" s="37"/>
      <c r="U50" s="37"/>
    </row>
    <row r="51" spans="1:21" ht="17.25" x14ac:dyDescent="0.25">
      <c r="A51" s="181" t="s">
        <v>90</v>
      </c>
      <c r="B51" s="182"/>
      <c r="C51" s="40"/>
      <c r="D51" s="183" t="e">
        <f>1000*B17</f>
        <v>#N/A</v>
      </c>
      <c r="E51" s="184"/>
      <c r="F51" s="184"/>
      <c r="G51" s="185" t="e">
        <f>1000*B17</f>
        <v>#N/A</v>
      </c>
      <c r="H51" s="40"/>
      <c r="I51" s="224" t="e">
        <f>1000*B17</f>
        <v>#N/A</v>
      </c>
      <c r="J51" s="225"/>
      <c r="K51" s="225" t="e">
        <f t="shared" si="5"/>
        <v>#N/A</v>
      </c>
      <c r="L51" s="254"/>
      <c r="M51" s="83"/>
      <c r="N51" s="91" t="e">
        <f>IF(L17="",1000*B17*J17,1000*B17*L17)</f>
        <v>#N/A</v>
      </c>
      <c r="O51" s="84" t="e">
        <f t="shared" si="4"/>
        <v>#N/A</v>
      </c>
      <c r="S51" s="37"/>
      <c r="T51" s="37"/>
      <c r="U51" s="37"/>
    </row>
    <row r="52" spans="1:21" ht="15.75" x14ac:dyDescent="0.25">
      <c r="A52" s="228" t="s">
        <v>73</v>
      </c>
      <c r="B52" s="229"/>
      <c r="C52" s="40"/>
      <c r="D52" s="183" t="e">
        <f>10000*B17</f>
        <v>#N/A</v>
      </c>
      <c r="E52" s="184"/>
      <c r="F52" s="184"/>
      <c r="G52" s="185" t="e">
        <f>1000*B18</f>
        <v>#N/A</v>
      </c>
      <c r="H52" s="40"/>
      <c r="I52" s="224" t="e">
        <f>10000*B17</f>
        <v>#N/A</v>
      </c>
      <c r="J52" s="225"/>
      <c r="K52" s="225" t="e">
        <f t="shared" si="5"/>
        <v>#N/A</v>
      </c>
      <c r="L52" s="254"/>
      <c r="M52" s="83"/>
      <c r="N52" s="91" t="e">
        <f>IF(L17="",10000*B17*J17,10000*B17*L17)</f>
        <v>#N/A</v>
      </c>
      <c r="O52" s="84" t="e">
        <f t="shared" si="4"/>
        <v>#N/A</v>
      </c>
      <c r="S52" s="37"/>
      <c r="T52" s="37"/>
      <c r="U52" s="37"/>
    </row>
    <row r="53" spans="1:21" ht="17.25" x14ac:dyDescent="0.25">
      <c r="A53" s="181" t="s">
        <v>91</v>
      </c>
      <c r="B53" s="182"/>
      <c r="C53" s="40"/>
      <c r="D53" s="183">
        <f>20*B32*E32*F32</f>
        <v>870</v>
      </c>
      <c r="E53" s="184"/>
      <c r="F53" s="184"/>
      <c r="G53" s="185" t="e">
        <f>20*B32*D32*#REF!</f>
        <v>#VALUE!</v>
      </c>
      <c r="H53" s="40"/>
      <c r="I53" s="224">
        <f>20*B32*F32</f>
        <v>580</v>
      </c>
      <c r="J53" s="225"/>
      <c r="K53" s="225">
        <f t="shared" si="5"/>
        <v>-290</v>
      </c>
      <c r="L53" s="254"/>
      <c r="M53" s="83"/>
      <c r="N53" s="91">
        <f>IF(R32=0,20*B32*F32,20*B32*R32)</f>
        <v>870</v>
      </c>
      <c r="O53" s="84">
        <f t="shared" si="4"/>
        <v>0</v>
      </c>
      <c r="S53" s="37"/>
      <c r="T53" s="37"/>
      <c r="U53" s="37"/>
    </row>
    <row r="54" spans="1:21" ht="17.25" x14ac:dyDescent="0.25">
      <c r="A54" s="181" t="s">
        <v>92</v>
      </c>
      <c r="B54" s="182"/>
      <c r="C54" s="40"/>
      <c r="D54" s="183">
        <f>50*B30*E30*F30</f>
        <v>1650</v>
      </c>
      <c r="E54" s="184"/>
      <c r="F54" s="184"/>
      <c r="G54" s="185" t="e">
        <f>20*B34*D34*#REF!</f>
        <v>#VALUE!</v>
      </c>
      <c r="H54" s="40"/>
      <c r="I54" s="224">
        <f>50*B30*F30</f>
        <v>1100</v>
      </c>
      <c r="J54" s="225"/>
      <c r="K54" s="225">
        <f t="shared" si="5"/>
        <v>-550</v>
      </c>
      <c r="L54" s="254"/>
      <c r="M54" s="83"/>
      <c r="N54" s="91">
        <f>IF(R30=0,50*B30*F30,50*B30*R30)</f>
        <v>2750</v>
      </c>
      <c r="O54" s="84">
        <f t="shared" si="4"/>
        <v>1100</v>
      </c>
      <c r="S54" s="37"/>
      <c r="T54" s="37"/>
      <c r="U54" s="37"/>
    </row>
    <row r="55" spans="1:21" ht="17.25" x14ac:dyDescent="0.25">
      <c r="A55" s="181" t="s">
        <v>93</v>
      </c>
      <c r="B55" s="182"/>
      <c r="C55" s="40"/>
      <c r="D55" s="183">
        <f>200*B34*E34*F34</f>
        <v>2100</v>
      </c>
      <c r="E55" s="184"/>
      <c r="F55" s="184"/>
      <c r="G55" s="185" t="e">
        <f>20*B36*D36*#REF!</f>
        <v>#VALUE!</v>
      </c>
      <c r="H55" s="40"/>
      <c r="I55" s="224">
        <f>200*B34*F34</f>
        <v>1400</v>
      </c>
      <c r="J55" s="225"/>
      <c r="K55" s="225">
        <f t="shared" si="5"/>
        <v>-700</v>
      </c>
      <c r="L55" s="254"/>
      <c r="M55" s="83"/>
      <c r="N55" s="91">
        <f>IF(R34=0,200*B34*F34,200*B34*R34)</f>
        <v>2100</v>
      </c>
      <c r="O55" s="84">
        <f t="shared" si="4"/>
        <v>0</v>
      </c>
      <c r="S55" s="37"/>
      <c r="T55" s="37"/>
      <c r="U55" s="37"/>
    </row>
    <row r="56" spans="1:21" ht="17.25" x14ac:dyDescent="0.25">
      <c r="A56" s="181" t="s">
        <v>94</v>
      </c>
      <c r="B56" s="182"/>
      <c r="C56" s="40"/>
      <c r="D56" s="183">
        <f>200*B36*E36*F36</f>
        <v>7200</v>
      </c>
      <c r="E56" s="184"/>
      <c r="F56" s="184"/>
      <c r="G56" s="185" t="e">
        <f>20*B38*D38*#REF!</f>
        <v>#VALUE!</v>
      </c>
      <c r="H56" s="40"/>
      <c r="I56" s="224">
        <f>200*B36*F36</f>
        <v>7200</v>
      </c>
      <c r="J56" s="225"/>
      <c r="K56" s="225">
        <f t="shared" si="5"/>
        <v>0</v>
      </c>
      <c r="L56" s="254"/>
      <c r="M56" s="83"/>
      <c r="N56" s="91">
        <f>IF(R36=0,200*B36*F36,200*B36*R36)</f>
        <v>10800</v>
      </c>
      <c r="O56" s="84">
        <f t="shared" si="4"/>
        <v>3600</v>
      </c>
    </row>
    <row r="57" spans="1:21" ht="18" thickBot="1" x14ac:dyDescent="0.3">
      <c r="A57" s="226" t="s">
        <v>95</v>
      </c>
      <c r="B57" s="227"/>
      <c r="C57" s="40"/>
      <c r="D57" s="230">
        <f>200*B38*E38*F38</f>
        <v>7200</v>
      </c>
      <c r="E57" s="231"/>
      <c r="F57" s="231"/>
      <c r="G57" s="232" t="e">
        <f>20*B40*D40*#REF!</f>
        <v>#VALUE!</v>
      </c>
      <c r="H57" s="40"/>
      <c r="I57" s="252">
        <f>200*B38*F38</f>
        <v>7200</v>
      </c>
      <c r="J57" s="253"/>
      <c r="K57" s="253">
        <f t="shared" si="5"/>
        <v>0</v>
      </c>
      <c r="L57" s="255"/>
      <c r="M57" s="83"/>
      <c r="N57" s="92">
        <f>IF(R38=0,200*B38*F38,200*B38*R38)</f>
        <v>10800</v>
      </c>
      <c r="O57" s="85">
        <f t="shared" si="4"/>
        <v>3600</v>
      </c>
    </row>
  </sheetData>
  <sheetProtection algorithmName="SHA-512" hashValue="EPnaZBoT3hX6O6rw6eudRLSD5aVU9jW4hq2TmAES78YdLZ/fSmdux51JYr4vaeoEjy9tJ7C8BzYQE6/RxN53ww==" saltValue="f5A/elNL/+ac4EwYC+yRBQ==" spinCount="100000" sheet="1" objects="1" scenarios="1"/>
  <dataConsolidate/>
  <mergeCells count="136">
    <mergeCell ref="A1:P1"/>
    <mergeCell ref="A3:P3"/>
    <mergeCell ref="B5:G5"/>
    <mergeCell ref="B7:G7"/>
    <mergeCell ref="A9:P9"/>
    <mergeCell ref="A11:A16"/>
    <mergeCell ref="B11:B16"/>
    <mergeCell ref="D11:G14"/>
    <mergeCell ref="I11:O11"/>
    <mergeCell ref="I12:O12"/>
    <mergeCell ref="I13:K13"/>
    <mergeCell ref="M13:M16"/>
    <mergeCell ref="N13:N16"/>
    <mergeCell ref="O13:O16"/>
    <mergeCell ref="I14:L14"/>
    <mergeCell ref="D15:F15"/>
    <mergeCell ref="G15:G16"/>
    <mergeCell ref="I15:I16"/>
    <mergeCell ref="L15:L16"/>
    <mergeCell ref="J17:K17"/>
    <mergeCell ref="M17:M26"/>
    <mergeCell ref="J18:K18"/>
    <mergeCell ref="J19:K19"/>
    <mergeCell ref="M28:M40"/>
    <mergeCell ref="A30:A31"/>
    <mergeCell ref="D30:D31"/>
    <mergeCell ref="E30:E31"/>
    <mergeCell ref="F30:F31"/>
    <mergeCell ref="G30:G31"/>
    <mergeCell ref="A32:A33"/>
    <mergeCell ref="B32:B33"/>
    <mergeCell ref="D32:D33"/>
    <mergeCell ref="F32:F33"/>
    <mergeCell ref="I32:I33"/>
    <mergeCell ref="J32:J33"/>
    <mergeCell ref="K32:K33"/>
    <mergeCell ref="I30:I31"/>
    <mergeCell ref="J30:J31"/>
    <mergeCell ref="K30:K31"/>
    <mergeCell ref="L32:L33"/>
    <mergeCell ref="N32:N33"/>
    <mergeCell ref="O32:O33"/>
    <mergeCell ref="P32:P33"/>
    <mergeCell ref="Q32:Q33"/>
    <mergeCell ref="R32:R33"/>
    <mergeCell ref="P30:P31"/>
    <mergeCell ref="Q30:Q31"/>
    <mergeCell ref="R30:R31"/>
    <mergeCell ref="L30:L31"/>
    <mergeCell ref="N30:N31"/>
    <mergeCell ref="O30:O31"/>
    <mergeCell ref="R34:R35"/>
    <mergeCell ref="A36:A37"/>
    <mergeCell ref="B36:B37"/>
    <mergeCell ref="D36:D37"/>
    <mergeCell ref="F36:F37"/>
    <mergeCell ref="I36:I37"/>
    <mergeCell ref="J36:J37"/>
    <mergeCell ref="K36:K37"/>
    <mergeCell ref="L36:L37"/>
    <mergeCell ref="N36:N37"/>
    <mergeCell ref="K34:K35"/>
    <mergeCell ref="L34:L35"/>
    <mergeCell ref="N34:N35"/>
    <mergeCell ref="O34:O35"/>
    <mergeCell ref="P34:P35"/>
    <mergeCell ref="Q34:Q35"/>
    <mergeCell ref="A34:A35"/>
    <mergeCell ref="B34:B35"/>
    <mergeCell ref="D34:D35"/>
    <mergeCell ref="F34:F35"/>
    <mergeCell ref="I34:I35"/>
    <mergeCell ref="J34:J35"/>
    <mergeCell ref="O36:O37"/>
    <mergeCell ref="P36:P37"/>
    <mergeCell ref="Q36:Q37"/>
    <mergeCell ref="R36:R37"/>
    <mergeCell ref="A38:A39"/>
    <mergeCell ref="B38:B39"/>
    <mergeCell ref="D38:D39"/>
    <mergeCell ref="F38:F39"/>
    <mergeCell ref="I38:I39"/>
    <mergeCell ref="J38:J39"/>
    <mergeCell ref="R38:R39"/>
    <mergeCell ref="K38:K39"/>
    <mergeCell ref="L38:L39"/>
    <mergeCell ref="N38:N39"/>
    <mergeCell ref="O38:O39"/>
    <mergeCell ref="P38:P39"/>
    <mergeCell ref="Q38:Q39"/>
    <mergeCell ref="I41:O41"/>
    <mergeCell ref="A42:B42"/>
    <mergeCell ref="A45:P45"/>
    <mergeCell ref="A47:B48"/>
    <mergeCell ref="D47:G47"/>
    <mergeCell ref="I47:J47"/>
    <mergeCell ref="K47:L48"/>
    <mergeCell ref="O47:O48"/>
    <mergeCell ref="D48:G48"/>
    <mergeCell ref="I48:J48"/>
    <mergeCell ref="A49:B49"/>
    <mergeCell ref="D49:G49"/>
    <mergeCell ref="I49:J49"/>
    <mergeCell ref="K49:L49"/>
    <mergeCell ref="A50:B50"/>
    <mergeCell ref="D50:G50"/>
    <mergeCell ref="I50:J50"/>
    <mergeCell ref="K50:L50"/>
    <mergeCell ref="A53:B53"/>
    <mergeCell ref="D53:G53"/>
    <mergeCell ref="I53:J53"/>
    <mergeCell ref="K53:L53"/>
    <mergeCell ref="A54:B54"/>
    <mergeCell ref="D54:G54"/>
    <mergeCell ref="I54:J54"/>
    <mergeCell ref="K54:L54"/>
    <mergeCell ref="A51:B51"/>
    <mergeCell ref="D51:G51"/>
    <mergeCell ref="I51:J51"/>
    <mergeCell ref="K51:L51"/>
    <mergeCell ref="A52:B52"/>
    <mergeCell ref="D52:G52"/>
    <mergeCell ref="I52:J52"/>
    <mergeCell ref="K52:L52"/>
    <mergeCell ref="A57:B57"/>
    <mergeCell ref="D57:G57"/>
    <mergeCell ref="I57:J57"/>
    <mergeCell ref="K57:L57"/>
    <mergeCell ref="A55:B55"/>
    <mergeCell ref="D55:G55"/>
    <mergeCell ref="I55:J55"/>
    <mergeCell ref="K55:L55"/>
    <mergeCell ref="A56:B56"/>
    <mergeCell ref="D56:G56"/>
    <mergeCell ref="I56:J56"/>
    <mergeCell ref="K56:L56"/>
  </mergeCells>
  <conditionalFormatting sqref="J20:J26">
    <cfRule type="expression" dxfId="31" priority="6">
      <formula>IF(L20="",IF(K20="",J20,"NIC"))</formula>
    </cfRule>
  </conditionalFormatting>
  <conditionalFormatting sqref="L20:L26">
    <cfRule type="expression" dxfId="30" priority="7">
      <formula>IF(L20&gt;$K$7,L20,"NIC")</formula>
    </cfRule>
  </conditionalFormatting>
  <conditionalFormatting sqref="L28:L32 L34 L36 L38 L40">
    <cfRule type="expression" dxfId="29" priority="8">
      <formula>IF(L28&gt;$K$7,L28,"NIC")</formula>
    </cfRule>
  </conditionalFormatting>
  <conditionalFormatting sqref="K20:K26">
    <cfRule type="expression" dxfId="28" priority="5">
      <formula>IF(K20&gt;=L20,K20,"NIC")</formula>
    </cfRule>
  </conditionalFormatting>
  <conditionalFormatting sqref="J28:J30">
    <cfRule type="expression" dxfId="27" priority="4">
      <formula>IF(L28="",IF(K28="",J28,"NIC"))</formula>
    </cfRule>
  </conditionalFormatting>
  <conditionalFormatting sqref="K28:K32 K34 K36 K38 K40">
    <cfRule type="expression" dxfId="26" priority="3">
      <formula>IF(K28&gt;=L28,K28,"NIC")</formula>
    </cfRule>
  </conditionalFormatting>
  <conditionalFormatting sqref="J32 J34 J36 J38 J40">
    <cfRule type="expression" dxfId="25" priority="2">
      <formula>IF(L32="",IF(K32="",J32,"NIC"))</formula>
    </cfRule>
  </conditionalFormatting>
  <conditionalFormatting sqref="L17:L19">
    <cfRule type="cellIs" dxfId="24" priority="1" operator="greaterThan">
      <formula>0</formula>
    </cfRule>
  </conditionalFormatting>
  <pageMargins left="0.7" right="0.7" top="0.78740157499999996" bottom="0.78740157499999996" header="0.3" footer="0.3"/>
  <pageSetup paperSize="8" scale="80" orientation="landscape" horizontalDpi="4294967293" r:id="rId1"/>
  <ignoredErrors>
    <ignoredError sqref="N2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Button 1">
              <controlPr defaultSize="0" print="0" autoFill="0" autoPict="0" macro="[0]!makro_2024_obec">
                <anchor moveWithCells="1" sizeWithCells="1">
                  <from>
                    <xdr:col>15</xdr:col>
                    <xdr:colOff>47625</xdr:colOff>
                    <xdr:row>13</xdr:row>
                    <xdr:rowOff>9525</xdr:rowOff>
                  </from>
                  <to>
                    <xdr:col>16</xdr:col>
                    <xdr:colOff>2133600</xdr:colOff>
                    <xdr:row>14</xdr:row>
                    <xdr:rowOff>685800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5E9FC33-FA69-4243-AC77-70A0419027DA}">
          <x14:formula1>
            <xm:f>IF(O5&lt;=1000,Koef!$I$11:$J$11,IF(O5&lt;=6000,Koef!$J$12:$K$12,IF(O5&lt;=10000,Koef!$K$13:$L$13,IF(O5&lt;=25000,Koef!$L$14:$M$14,IF(O5&lt;=50000,Koef!$L$15:$M$15,Koef!$L$16:$M$16)))))</xm:f>
          </x14:formula1>
          <xm:sqref>I29</xm:sqref>
        </x14:dataValidation>
        <x14:dataValidation type="list" allowBlank="1" showInputMessage="1" showErrorMessage="1" xr:uid="{6B367038-8C35-46C1-8ECC-4413EA1D129C}">
          <x14:formula1>
            <xm:f>IF(O5&lt;=1000,Koef!$I$11:$J$11,IF(O5&lt;=6000,Koef!$J$12:$K$12,IF(O5&lt;=10000,Koef!$K$13:$L$13,IF(O5&lt;=25000,Koef!$L$14:$M$14,IF(O5&lt;=50000,Koef!$L$15:$M$15,Koef!$L$16:$M$16)))))</xm:f>
          </x14:formula1>
          <xm:sqref>I28</xm:sqref>
        </x14:dataValidation>
        <x14:dataValidation type="list" allowBlank="1" showInputMessage="1" showErrorMessage="1" xr:uid="{79913F02-ABCB-4120-8B86-450B2159FDD8}">
          <x14:formula1>
            <xm:f>Koef!$S$12:$S$58</xm:f>
          </x14:formula1>
          <xm:sqref>J16:K16</xm:sqref>
        </x14:dataValidation>
        <x14:dataValidation type="list" allowBlank="1" showInputMessage="1" showErrorMessage="1" xr:uid="{642CF759-E7F1-4567-AF28-3693444E13B3}">
          <x14:formula1>
            <xm:f>Koef!$R$12:$R$23</xm:f>
          </x14:formula1>
          <xm:sqref>L17:L19</xm:sqref>
        </x14:dataValidation>
        <x14:dataValidation type="list" allowBlank="1" showInputMessage="1" showErrorMessage="1" xr:uid="{C6CAA514-A86B-4DED-8F82-2BF4CE2CB8A8}">
          <x14:formula1>
            <xm:f>Koef!$Q$12:$Q$58</xm:f>
          </x14:formula1>
          <xm:sqref>L28:L30 L20:L26 L32 L34 L36 L38 L40</xm:sqref>
        </x14:dataValidation>
        <x14:dataValidation type="list" allowBlank="1" showInputMessage="1" showErrorMessage="1" xr:uid="{35BE1CAC-00BE-4C80-A627-30D49B733E8B}">
          <x14:formula1>
            <xm:f>IF(O5&lt;=1000,Koef!$I$11:$J$11,IF(O5&lt;=6000,Koef!$J$12:$K$12,IF(O5&lt;=10000,Koef!$K$13:$L$13,IF(O5&lt;=25000,Koef!$L$14:$M$14,IF(O5&lt;=50000,Koef!$L$15:$M$15,Koef!$L$16:$M$16)))))</xm:f>
          </x14:formula1>
          <xm:sqref>I22</xm:sqref>
        </x14:dataValidation>
        <x14:dataValidation type="list" allowBlank="1" showInputMessage="1" showErrorMessage="1" xr:uid="{F129D411-EA84-43E7-BDEC-807AF93B5480}">
          <x14:formula1>
            <xm:f>IF(VLOOKUP(#REF!,Obce_vynos!#REF!,3,FALSE)&lt;=1000,Koef!$I$11:$J$11,Koef!$I$12:$K$12)</xm:f>
          </x14:formula1>
          <xm:sqref>G80</xm:sqref>
        </x14:dataValidation>
        <x14:dataValidation type="list" allowBlank="1" showInputMessage="1" showErrorMessage="1" xr:uid="{B9464186-8251-4055-BC9F-229E73696438}">
          <x14:formula1>
            <xm:f>Obce_s_KU!$A$2:$A$1150</xm:f>
          </x14:formula1>
          <xm:sqref>B5:G5</xm:sqref>
        </x14:dataValidation>
        <x14:dataValidation type="list" allowBlank="1" showInputMessage="1" showErrorMessage="1" xr:uid="{3FAF108E-354A-45E8-8D5C-ADD415D6C38A}">
          <x14:formula1>
            <xm:f>INDIRECT(VLOOKUP(B5,Obce_s_KU!A2:B1150,2,FALSE))</xm:f>
          </x14:formula1>
          <xm:sqref>B7:G7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D0925-31A5-4D72-A14C-079ED0854565}">
  <sheetPr codeName="List9">
    <pageSetUpPr fitToPage="1"/>
  </sheetPr>
  <dimension ref="A1:AA57"/>
  <sheetViews>
    <sheetView topLeftCell="A9" zoomScale="80" zoomScaleNormal="80" workbookViewId="0">
      <selection activeCell="L30" sqref="L30:L31"/>
    </sheetView>
  </sheetViews>
  <sheetFormatPr defaultRowHeight="15" x14ac:dyDescent="0.25"/>
  <cols>
    <col min="1" max="1" width="55.7109375" customWidth="1"/>
    <col min="2" max="2" width="17.28515625" customWidth="1"/>
    <col min="3" max="3" width="1.7109375" customWidth="1"/>
    <col min="4" max="6" width="10.7109375" customWidth="1"/>
    <col min="7" max="7" width="20" customWidth="1"/>
    <col min="8" max="8" width="1.7109375" customWidth="1"/>
    <col min="9" max="9" width="10.7109375" customWidth="1"/>
    <col min="10" max="10" width="13.7109375" customWidth="1"/>
    <col min="11" max="11" width="13.85546875" customWidth="1"/>
    <col min="12" max="12" width="13.42578125" customWidth="1"/>
    <col min="13" max="13" width="1.5703125" customWidth="1"/>
    <col min="14" max="14" width="24.28515625" customWidth="1"/>
    <col min="15" max="15" width="22.85546875" customWidth="1"/>
    <col min="16" max="16" width="3.5703125" customWidth="1"/>
    <col min="17" max="17" width="62.140625" customWidth="1"/>
  </cols>
  <sheetData>
    <row r="1" spans="1:24" ht="23.25" x14ac:dyDescent="0.25">
      <c r="A1" s="188" t="s">
        <v>14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3" spans="1:24" ht="18.75" x14ac:dyDescent="0.25">
      <c r="A3" s="189" t="s">
        <v>0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</row>
    <row r="4" spans="1:24" ht="15.75" thickBot="1" x14ac:dyDescent="0.3">
      <c r="R4" s="96"/>
      <c r="S4" s="96"/>
      <c r="T4" s="96"/>
      <c r="U4" s="96"/>
    </row>
    <row r="5" spans="1:24" ht="16.5" thickBot="1" x14ac:dyDescent="0.3">
      <c r="A5" s="71" t="s">
        <v>1</v>
      </c>
      <c r="B5" s="190" t="s">
        <v>108</v>
      </c>
      <c r="C5" s="191"/>
      <c r="D5" s="191"/>
      <c r="E5" s="191"/>
      <c r="F5" s="191"/>
      <c r="G5" s="192"/>
      <c r="H5" s="40"/>
      <c r="I5" s="40"/>
      <c r="J5" s="40"/>
      <c r="K5" s="40"/>
      <c r="L5" s="40"/>
      <c r="M5" s="40"/>
      <c r="N5" s="71" t="s">
        <v>3</v>
      </c>
      <c r="O5" s="72">
        <f>VLOOKUP(B5,'OBCE, počet obyvatel'!C3:D1591,2,FALSE)</f>
        <v>5095</v>
      </c>
      <c r="R5" s="96"/>
      <c r="S5" s="96"/>
      <c r="T5" s="96"/>
      <c r="U5" s="96"/>
    </row>
    <row r="6" spans="1:24" ht="5.0999999999999996" customHeight="1" thickBot="1" x14ac:dyDescent="0.3">
      <c r="A6" s="71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73"/>
      <c r="O6" s="74"/>
      <c r="R6" s="96"/>
      <c r="S6" s="96"/>
      <c r="T6" s="96"/>
      <c r="U6" s="96"/>
    </row>
    <row r="7" spans="1:24" ht="16.5" thickBot="1" x14ac:dyDescent="0.3">
      <c r="A7" s="71" t="s">
        <v>2</v>
      </c>
      <c r="B7" s="218" t="s">
        <v>114</v>
      </c>
      <c r="C7" s="219"/>
      <c r="D7" s="219"/>
      <c r="E7" s="219"/>
      <c r="F7" s="219"/>
      <c r="G7" s="220"/>
      <c r="H7" s="40"/>
      <c r="I7" s="40"/>
      <c r="J7" s="99" t="str">
        <f>IF(OR(ISBLANK($J$16),$J$16="žádný"),0,$J$16)</f>
        <v>2</v>
      </c>
      <c r="K7" s="99">
        <f>IF(OR(ISBLANK($K$16),$K$16="žádný"),0,$K$16)</f>
        <v>0</v>
      </c>
      <c r="L7" s="40"/>
      <c r="M7" s="40"/>
      <c r="N7" s="73"/>
      <c r="O7" s="40"/>
      <c r="R7" s="96"/>
      <c r="S7" s="37"/>
      <c r="T7" s="37"/>
      <c r="U7" s="37"/>
      <c r="V7" s="37"/>
      <c r="W7" s="37"/>
      <c r="X7" s="37"/>
    </row>
    <row r="8" spans="1:24" x14ac:dyDescent="0.25">
      <c r="R8" s="96"/>
      <c r="S8" s="37"/>
      <c r="T8" s="37"/>
      <c r="U8" s="37"/>
      <c r="V8" s="37"/>
      <c r="W8" s="37"/>
      <c r="X8" s="37"/>
    </row>
    <row r="9" spans="1:24" ht="18.75" x14ac:dyDescent="0.25">
      <c r="A9" s="189" t="s">
        <v>82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R9" s="96"/>
      <c r="S9" s="37"/>
      <c r="T9" s="37"/>
      <c r="U9" s="37"/>
      <c r="V9" s="37"/>
      <c r="W9" s="37"/>
      <c r="X9" s="37"/>
    </row>
    <row r="10" spans="1:24" ht="5.0999999999999996" customHeight="1" thickBot="1" x14ac:dyDescent="0.3">
      <c r="R10" s="96"/>
      <c r="S10" s="37"/>
      <c r="T10" s="37"/>
      <c r="U10" s="37"/>
      <c r="V10" s="37"/>
      <c r="W10" s="37"/>
      <c r="X10" s="37"/>
    </row>
    <row r="11" spans="1:24" ht="26.25" customHeight="1" x14ac:dyDescent="0.25">
      <c r="A11" s="203" t="s">
        <v>81</v>
      </c>
      <c r="B11" s="206" t="s">
        <v>87</v>
      </c>
      <c r="D11" s="209" t="str">
        <f>Koef!B3</f>
        <v>Zdaňovací období roku 2024</v>
      </c>
      <c r="E11" s="210"/>
      <c r="F11" s="210"/>
      <c r="G11" s="211"/>
      <c r="I11" s="200" t="s">
        <v>77</v>
      </c>
      <c r="J11" s="201"/>
      <c r="K11" s="201"/>
      <c r="L11" s="201"/>
      <c r="M11" s="201"/>
      <c r="N11" s="201"/>
      <c r="O11" s="202"/>
      <c r="R11" s="96"/>
      <c r="S11" s="37"/>
      <c r="T11" s="37"/>
      <c r="U11" s="37"/>
      <c r="V11" s="37"/>
      <c r="W11" s="37"/>
      <c r="X11" s="37"/>
    </row>
    <row r="12" spans="1:24" ht="26.25" customHeight="1" thickBot="1" x14ac:dyDescent="0.3">
      <c r="A12" s="204"/>
      <c r="B12" s="207"/>
      <c r="D12" s="212"/>
      <c r="E12" s="213"/>
      <c r="F12" s="213"/>
      <c r="G12" s="214"/>
      <c r="I12" s="197" t="s">
        <v>72</v>
      </c>
      <c r="J12" s="198"/>
      <c r="K12" s="198"/>
      <c r="L12" s="198"/>
      <c r="M12" s="198"/>
      <c r="N12" s="198"/>
      <c r="O12" s="199"/>
      <c r="R12" s="96"/>
      <c r="S12" s="37"/>
      <c r="T12" s="37"/>
      <c r="U12" s="37"/>
      <c r="V12" s="37"/>
      <c r="W12" s="37"/>
      <c r="X12" s="37"/>
    </row>
    <row r="13" spans="1:24" ht="26.25" customHeight="1" x14ac:dyDescent="0.25">
      <c r="A13" s="204"/>
      <c r="B13" s="207"/>
      <c r="D13" s="212"/>
      <c r="E13" s="213"/>
      <c r="F13" s="213"/>
      <c r="G13" s="214"/>
      <c r="I13" s="177" t="s">
        <v>85</v>
      </c>
      <c r="J13" s="178"/>
      <c r="K13" s="178"/>
      <c r="L13" s="70">
        <v>1</v>
      </c>
      <c r="M13" s="174"/>
      <c r="N13" s="177" t="s">
        <v>4</v>
      </c>
      <c r="O13" s="206" t="s">
        <v>17</v>
      </c>
      <c r="R13" s="96" t="str">
        <f>IF(ISBLANK(R11),"",R11)</f>
        <v/>
      </c>
      <c r="S13" s="37"/>
      <c r="T13" s="37"/>
      <c r="U13" s="37"/>
      <c r="V13" s="37"/>
      <c r="W13" s="37"/>
      <c r="X13" s="37"/>
    </row>
    <row r="14" spans="1:24" ht="26.25" customHeight="1" thickBot="1" x14ac:dyDescent="0.3">
      <c r="A14" s="204"/>
      <c r="B14" s="207"/>
      <c r="D14" s="215"/>
      <c r="E14" s="216"/>
      <c r="F14" s="216"/>
      <c r="G14" s="217"/>
      <c r="I14" s="194" t="s">
        <v>84</v>
      </c>
      <c r="J14" s="195"/>
      <c r="K14" s="195"/>
      <c r="L14" s="196"/>
      <c r="M14" s="175"/>
      <c r="N14" s="194"/>
      <c r="O14" s="196"/>
      <c r="R14" s="37"/>
      <c r="S14" s="37"/>
      <c r="T14" s="37"/>
      <c r="U14" s="37"/>
      <c r="V14" s="37"/>
      <c r="W14" s="37"/>
      <c r="X14" s="37"/>
    </row>
    <row r="15" spans="1:24" ht="58.5" customHeight="1" thickTop="1" x14ac:dyDescent="0.25">
      <c r="A15" s="204"/>
      <c r="B15" s="207"/>
      <c r="D15" s="238" t="s">
        <v>69</v>
      </c>
      <c r="E15" s="239"/>
      <c r="F15" s="240"/>
      <c r="G15" s="241" t="s">
        <v>4</v>
      </c>
      <c r="I15" s="221" t="s">
        <v>80</v>
      </c>
      <c r="J15" s="87" t="s">
        <v>96</v>
      </c>
      <c r="K15" s="88" t="s">
        <v>78</v>
      </c>
      <c r="L15" s="170" t="s">
        <v>79</v>
      </c>
      <c r="M15" s="175"/>
      <c r="N15" s="194"/>
      <c r="O15" s="196"/>
      <c r="R15" s="37"/>
      <c r="S15" s="37"/>
      <c r="T15" s="37"/>
      <c r="U15" s="37"/>
      <c r="V15" s="37"/>
      <c r="W15" s="37"/>
      <c r="X15" s="37"/>
    </row>
    <row r="16" spans="1:24" ht="45" customHeight="1" thickBot="1" x14ac:dyDescent="0.3">
      <c r="A16" s="205"/>
      <c r="B16" s="208"/>
      <c r="D16" s="80" t="s">
        <v>80</v>
      </c>
      <c r="E16" s="89">
        <v>1.5</v>
      </c>
      <c r="F16" s="90" t="s">
        <v>96</v>
      </c>
      <c r="G16" s="242"/>
      <c r="I16" s="222"/>
      <c r="J16" s="118" t="s">
        <v>124</v>
      </c>
      <c r="K16" s="119" t="s">
        <v>97</v>
      </c>
      <c r="L16" s="171"/>
      <c r="M16" s="175"/>
      <c r="N16" s="179"/>
      <c r="O16" s="223"/>
      <c r="P16" s="95" t="str">
        <f>IF(HELP!AF4="ANO","","!!!")</f>
        <v/>
      </c>
      <c r="Q16" s="94" t="str">
        <f>IF(HELP!AF4="ANO","","POZOR! Koeficient pro OBEC musí být na všech KÚ shodný!")</f>
        <v/>
      </c>
      <c r="R16" s="96"/>
      <c r="S16" s="96"/>
      <c r="T16" s="117" t="str">
        <f>IF(VLOOKUP($B$7,Všechny_obce_koeficienty!$D$2:$U$1045,18,FALSE)="",1,VLOOKUP($B$7,Všechny_obce_koeficienty!$D$2:$U$1045,18,FALSE))</f>
        <v>2</v>
      </c>
      <c r="U16" s="96" t="s">
        <v>97</v>
      </c>
      <c r="V16" s="37"/>
      <c r="W16" s="37"/>
      <c r="X16" s="37"/>
    </row>
    <row r="17" spans="1:27" ht="15" customHeight="1" thickTop="1" x14ac:dyDescent="0.25">
      <c r="A17" s="36" t="s">
        <v>6</v>
      </c>
      <c r="B17" s="39">
        <f>VLOOKUP(B7,Všechny_obce_koeficienty!D2:U6,2,FALSE)*0.0135</f>
        <v>4.725E-2</v>
      </c>
      <c r="C17" s="40"/>
      <c r="D17" s="41" t="s">
        <v>16</v>
      </c>
      <c r="E17" s="42" t="s">
        <v>16</v>
      </c>
      <c r="F17" s="43">
        <v>1</v>
      </c>
      <c r="G17" s="128">
        <f>VLOOKUP($B$7,Obce_vynos!B3:AB1045,2,FALSE)</f>
        <v>32025</v>
      </c>
      <c r="H17" s="40"/>
      <c r="I17" s="41" t="s">
        <v>16</v>
      </c>
      <c r="J17" s="166">
        <v>1</v>
      </c>
      <c r="K17" s="167"/>
      <c r="L17" s="121"/>
      <c r="M17" s="176"/>
      <c r="N17" s="106">
        <f>IF(L17="",G17/F17*J17,G17/F17*L17)</f>
        <v>32025</v>
      </c>
      <c r="O17" s="107">
        <f t="shared" ref="O17:O26" si="0">N17-G17</f>
        <v>0</v>
      </c>
      <c r="P17" s="95" t="str">
        <f>IF(HELP!AF7="ANO","","!!!")</f>
        <v/>
      </c>
      <c r="Q17" s="94" t="str">
        <f>IF(HELP!AF7="ANO","","POZOR! Koeficient pro skupinu NV musí být na všech KÚ shodný!")</f>
        <v/>
      </c>
      <c r="R17" s="136"/>
      <c r="S17" s="136"/>
      <c r="T17" s="96"/>
      <c r="U17" s="96"/>
      <c r="V17" s="37"/>
      <c r="W17" s="37"/>
      <c r="X17" s="37"/>
    </row>
    <row r="18" spans="1:27" ht="15" customHeight="1" x14ac:dyDescent="0.25">
      <c r="A18" s="5" t="s">
        <v>5</v>
      </c>
      <c r="B18" s="44">
        <f>VLOOKUP(B7,Všechny_obce_koeficienty!D2:U6,2,FALSE)*0.0045</f>
        <v>1.575E-2</v>
      </c>
      <c r="C18" s="40"/>
      <c r="D18" s="129" t="s">
        <v>16</v>
      </c>
      <c r="E18" s="45" t="s">
        <v>16</v>
      </c>
      <c r="F18" s="131">
        <v>1</v>
      </c>
      <c r="G18" s="126">
        <f>VLOOKUP($B$7,Obce_vynos!B3:AB1045,3,FALSE)</f>
        <v>46430</v>
      </c>
      <c r="H18" s="40"/>
      <c r="I18" s="129" t="s">
        <v>16</v>
      </c>
      <c r="J18" s="168">
        <v>1</v>
      </c>
      <c r="K18" s="169"/>
      <c r="L18" s="122"/>
      <c r="M18" s="176"/>
      <c r="N18" s="108">
        <f>IF(L18="",G18/F18*J18,G18/F18*L18)</f>
        <v>46430</v>
      </c>
      <c r="O18" s="133">
        <f t="shared" si="0"/>
        <v>0</v>
      </c>
      <c r="P18" s="95" t="str">
        <f>IF(HELP!AF10="ANO","","!!!")</f>
        <v/>
      </c>
      <c r="Q18" s="94" t="str">
        <f>IF(HELP!AF10="ANO","","POZOR! Koeficient pro skupinu NV musí být na všech KÚ shodný!")</f>
        <v/>
      </c>
      <c r="R18" s="96"/>
      <c r="S18" s="96"/>
      <c r="T18" s="96"/>
      <c r="U18" s="96"/>
      <c r="V18" s="37"/>
      <c r="W18" s="37"/>
      <c r="X18" s="37"/>
    </row>
    <row r="19" spans="1:27" ht="15" customHeight="1" x14ac:dyDescent="0.25">
      <c r="A19" s="5" t="s">
        <v>68</v>
      </c>
      <c r="B19" s="46">
        <v>0.08</v>
      </c>
      <c r="C19" s="40"/>
      <c r="D19" s="129" t="s">
        <v>16</v>
      </c>
      <c r="E19" s="45" t="s">
        <v>16</v>
      </c>
      <c r="F19" s="131">
        <v>1</v>
      </c>
      <c r="G19" s="126">
        <f>VLOOKUP($B$7,Obce_vynos!B3:AB1045,23,FALSE)</f>
        <v>17621</v>
      </c>
      <c r="H19" s="40"/>
      <c r="I19" s="129" t="s">
        <v>16</v>
      </c>
      <c r="J19" s="168">
        <v>1</v>
      </c>
      <c r="K19" s="169"/>
      <c r="L19" s="122"/>
      <c r="M19" s="176"/>
      <c r="N19" s="108">
        <f>IF(L19="",G19/F19*J19,G19/F19*L19)</f>
        <v>17621</v>
      </c>
      <c r="O19" s="133">
        <f t="shared" si="0"/>
        <v>0</v>
      </c>
      <c r="P19" s="95" t="str">
        <f>IF(HELP!AF13="ANO","","!!!")</f>
        <v/>
      </c>
      <c r="Q19" s="94" t="str">
        <f>IF(HELP!AF13="ANO","","POZOR! Koeficient pro skupinu NV musí být na všech KÚ shodný!")</f>
        <v/>
      </c>
      <c r="R19" s="96"/>
      <c r="S19" s="96"/>
      <c r="T19" s="96"/>
      <c r="U19" s="96"/>
      <c r="V19" s="37"/>
      <c r="W19" s="37"/>
      <c r="X19" s="37"/>
    </row>
    <row r="20" spans="1:27" ht="15" customHeight="1" x14ac:dyDescent="0.25">
      <c r="A20" s="5" t="s">
        <v>7</v>
      </c>
      <c r="B20" s="47">
        <f>3.8*0.0045</f>
        <v>1.7099999999999997E-2</v>
      </c>
      <c r="C20" s="40"/>
      <c r="D20" s="48" t="s">
        <v>16</v>
      </c>
      <c r="E20" s="45" t="s">
        <v>16</v>
      </c>
      <c r="F20" s="131" t="str">
        <f>IF(VLOOKUP($B$7,Všechny_obce_koeficienty!$D$2:$U$1045,18,FALSE)="","1,0",VLOOKUP($B$7,Všechny_obce_koeficienty!$D$2:$U$1045,18,FALSE))</f>
        <v>2</v>
      </c>
      <c r="G20" s="126">
        <f>VLOOKUP($B$7,Obce_vynos!B3:AB1045,4,FALSE)</f>
        <v>7480</v>
      </c>
      <c r="H20" s="40"/>
      <c r="I20" s="129" t="s">
        <v>16</v>
      </c>
      <c r="J20" s="131" t="str">
        <f>IF(OR(ISBLANK($J$16),$J$16="žádný"),"",$J$16)</f>
        <v>2</v>
      </c>
      <c r="K20" s="131" t="str">
        <f>IF(OR(ISBLANK($K$16),$K$16="žádný"),"",$K$16)</f>
        <v/>
      </c>
      <c r="L20" s="123"/>
      <c r="M20" s="176"/>
      <c r="N20" s="108">
        <f>IF(R20=0,G20/F20,G20/F20*R20)*$L$13</f>
        <v>7480</v>
      </c>
      <c r="O20" s="133">
        <f t="shared" si="0"/>
        <v>0</v>
      </c>
      <c r="P20" s="95" t="str">
        <f>IF(HELP!AF16="ANO","","!!!")</f>
        <v/>
      </c>
      <c r="Q20" s="94" t="str">
        <f>IF(HELP!AF16="ANO","","POZOR! Koeficient pro skupinu NV musí být na všech KÚ shodný!")</f>
        <v/>
      </c>
      <c r="R20" s="135" t="str">
        <f>IF(IF(L20&gt;=$K$7,L20,IF(L20="",$K$7,IF($K$7="",$J$7,$K$7)))=0,$J$7,IF(L20&gt;=$K$7,L20,IF(L20="",$K$7,IF($K$7="",$J$7,$K$7))))</f>
        <v>2</v>
      </c>
      <c r="S20" s="96"/>
      <c r="T20" s="96"/>
      <c r="U20" s="96"/>
      <c r="V20" s="37"/>
      <c r="W20" s="37"/>
      <c r="X20" s="37"/>
    </row>
    <row r="21" spans="1:27" ht="15" customHeight="1" x14ac:dyDescent="0.25">
      <c r="A21" s="5" t="s">
        <v>8</v>
      </c>
      <c r="B21" s="46">
        <v>0.35</v>
      </c>
      <c r="C21" s="40"/>
      <c r="D21" s="48" t="s">
        <v>16</v>
      </c>
      <c r="E21" s="45" t="s">
        <v>16</v>
      </c>
      <c r="F21" s="131" t="str">
        <f>IF(VLOOKUP($B$7,Všechny_obce_koeficienty!$D$2:$U$1045,18,FALSE)="","1,0",VLOOKUP($B$7,Všechny_obce_koeficienty!$D$2:$U$1045,18,FALSE))</f>
        <v>2</v>
      </c>
      <c r="G21" s="126">
        <f>VLOOKUP($B$7,Obce_vynos!B3:AB1045,5,FALSE)</f>
        <v>16760</v>
      </c>
      <c r="H21" s="40"/>
      <c r="I21" s="129" t="s">
        <v>16</v>
      </c>
      <c r="J21" s="131" t="str">
        <f t="shared" ref="J21:J40" si="1">IF(OR(ISBLANK($J$16),$J$16="žádný"),"",$J$16)</f>
        <v>2</v>
      </c>
      <c r="K21" s="131" t="str">
        <f t="shared" ref="K21:K40" si="2">IF(OR(ISBLANK($K$16),$K$16="žádný"),"",$K$16)</f>
        <v/>
      </c>
      <c r="L21" s="134"/>
      <c r="M21" s="176"/>
      <c r="N21" s="108">
        <f>IF(R21=0,G21/F21,G21/F21*R21)*$L$13</f>
        <v>16760</v>
      </c>
      <c r="O21" s="133">
        <f t="shared" si="0"/>
        <v>0</v>
      </c>
      <c r="P21" s="95" t="str">
        <f>IF(HELP!AF19="ANO","","!!!")</f>
        <v/>
      </c>
      <c r="Q21" s="94" t="str">
        <f>IF(HELP!AF19="ANO","","POZOR! Koeficient pro skupinu NV musí být na všech KÚ shodný!")</f>
        <v/>
      </c>
      <c r="R21" s="135" t="str">
        <f t="shared" ref="R21:R40" si="3">IF(IF(L21&gt;=$K$7,L21,IF(L21="",$K$7,IF($K$7="",$J$7,$K$7)))=0,$J$7,IF(L21&gt;=$K$7,L21,IF(L21="",$K$7,IF($K$7="",$J$7,$K$7))))</f>
        <v>2</v>
      </c>
      <c r="S21" s="96"/>
      <c r="T21" s="96"/>
      <c r="U21" s="96"/>
      <c r="V21" s="37"/>
      <c r="W21" s="37"/>
      <c r="X21" s="37"/>
    </row>
    <row r="22" spans="1:27" ht="15" customHeight="1" x14ac:dyDescent="0.25">
      <c r="A22" s="5" t="s">
        <v>9</v>
      </c>
      <c r="B22" s="46">
        <v>3.5</v>
      </c>
      <c r="C22" s="40"/>
      <c r="D22" s="130">
        <f>IF(VLOOKUP($B$7,Všechny_obce_koeficienty!$D$2:$U$1045,3,FALSE)="",1,VLOOKUP($B$7,Všechny_obce_koeficienty!$D$2:$U$1045,3,FALSE))</f>
        <v>1.4</v>
      </c>
      <c r="E22" s="45" t="s">
        <v>16</v>
      </c>
      <c r="F22" s="131" t="str">
        <f>IF(VLOOKUP($B$7,Všechny_obce_koeficienty!$D$2:$U$1045,18,FALSE)="","1,0",VLOOKUP($B$7,Všechny_obce_koeficienty!$D$2:$U$1045,18,FALSE))</f>
        <v>2</v>
      </c>
      <c r="G22" s="126">
        <f>VLOOKUP($B$7,Obce_vynos!B3:AB1045,6,FALSE)</f>
        <v>392</v>
      </c>
      <c r="H22" s="40"/>
      <c r="I22" s="120">
        <v>1.4</v>
      </c>
      <c r="J22" s="131" t="str">
        <f t="shared" si="1"/>
        <v>2</v>
      </c>
      <c r="K22" s="131" t="str">
        <f t="shared" si="2"/>
        <v/>
      </c>
      <c r="L22" s="134"/>
      <c r="M22" s="176"/>
      <c r="N22" s="108">
        <f>IF(R22=0,G22/D22*I22/F22,G22/D22*I22/F22*R22)*$L$13</f>
        <v>392</v>
      </c>
      <c r="O22" s="133">
        <f t="shared" si="0"/>
        <v>0</v>
      </c>
      <c r="P22" s="95" t="str">
        <f>IF(HELP!AF22="ANO","","!!!")</f>
        <v/>
      </c>
      <c r="Q22" s="94" t="str">
        <f>IF(HELP!AF22="ANO","","POZOR! Koeficient pro skupinu NV musí být na všech KÚ shodný!")</f>
        <v/>
      </c>
      <c r="R22" s="135" t="str">
        <f t="shared" si="3"/>
        <v>2</v>
      </c>
      <c r="S22" s="117">
        <f>IF(O5&lt;=1000,Koef!I11,IF(O5&lt;=6000,Koef!J12,IF(O5&lt;=10000,Koef!K13,IF(O5&lt;=25000,Koef!L14,IF(O5&lt;=50000,Koef!L15,Koef!L16)))))</f>
        <v>1.4</v>
      </c>
      <c r="T22" s="117">
        <f>IF(S22&gt;=D22,S22,D22)</f>
        <v>1.4</v>
      </c>
      <c r="U22" s="96"/>
      <c r="V22" s="37"/>
      <c r="W22" s="37"/>
      <c r="X22" s="37"/>
    </row>
    <row r="23" spans="1:27" ht="15" customHeight="1" x14ac:dyDescent="0.25">
      <c r="A23" s="5" t="s">
        <v>10</v>
      </c>
      <c r="B23" s="46">
        <v>0.35</v>
      </c>
      <c r="C23" s="40"/>
      <c r="D23" s="48" t="s">
        <v>16</v>
      </c>
      <c r="E23" s="45" t="s">
        <v>16</v>
      </c>
      <c r="F23" s="131" t="str">
        <f>IF(VLOOKUP($B$7,Všechny_obce_koeficienty!$D$2:$U$1045,18,FALSE)="","1,0",VLOOKUP($B$7,Všechny_obce_koeficienty!$D$2:$U$1045,18,FALSE))</f>
        <v>2</v>
      </c>
      <c r="G23" s="126">
        <f>VLOOKUP($B$7,Obce_vynos!B3:AB1045,7,FALSE)</f>
        <v>127309</v>
      </c>
      <c r="H23" s="40"/>
      <c r="I23" s="129" t="s">
        <v>16</v>
      </c>
      <c r="J23" s="131" t="str">
        <f t="shared" si="1"/>
        <v>2</v>
      </c>
      <c r="K23" s="131" t="str">
        <f t="shared" si="2"/>
        <v/>
      </c>
      <c r="L23" s="134"/>
      <c r="M23" s="176"/>
      <c r="N23" s="108">
        <f>IF(R23=0,G23/F23,G23/F23*R23)*$L$13</f>
        <v>127309</v>
      </c>
      <c r="O23" s="133">
        <f t="shared" si="0"/>
        <v>0</v>
      </c>
      <c r="P23" s="95" t="str">
        <f>IF(HELP!AF25="ANO","","!!!")</f>
        <v/>
      </c>
      <c r="Q23" s="94" t="str">
        <f>IF(HELP!AF25="ANO","","POZOR! Koeficient pro skupinu NV musí být na všech KÚ shodný!")</f>
        <v/>
      </c>
      <c r="R23" s="135" t="str">
        <f t="shared" si="3"/>
        <v>2</v>
      </c>
      <c r="S23" s="96"/>
      <c r="T23" s="117"/>
      <c r="U23" s="96"/>
      <c r="V23" s="37"/>
      <c r="W23" s="37"/>
      <c r="X23" s="37"/>
    </row>
    <row r="24" spans="1:27" ht="15" customHeight="1" x14ac:dyDescent="0.25">
      <c r="A24" s="5" t="s">
        <v>67</v>
      </c>
      <c r="B24" s="46">
        <v>0.35</v>
      </c>
      <c r="C24" s="40"/>
      <c r="D24" s="48" t="s">
        <v>16</v>
      </c>
      <c r="E24" s="45" t="s">
        <v>16</v>
      </c>
      <c r="F24" s="131" t="str">
        <f>IF(VLOOKUP($B$7,Všechny_obce_koeficienty!$D$2:$U$1045,18,FALSE)="","1,0",VLOOKUP($B$7,Všechny_obce_koeficienty!$D$2:$U$1045,18,FALSE))</f>
        <v>2</v>
      </c>
      <c r="G24" s="126">
        <f>VLOOKUP($B$7,Obce_vynos!B3:AB1045,17,FALSE)</f>
        <v>89876</v>
      </c>
      <c r="H24" s="40"/>
      <c r="I24" s="129" t="s">
        <v>16</v>
      </c>
      <c r="J24" s="131" t="str">
        <f t="shared" si="1"/>
        <v>2</v>
      </c>
      <c r="K24" s="131" t="str">
        <f t="shared" si="2"/>
        <v/>
      </c>
      <c r="L24" s="134"/>
      <c r="M24" s="176"/>
      <c r="N24" s="108">
        <f>IF(R24=0,G24/F24,G24/F24*R24)*$L$13</f>
        <v>89876</v>
      </c>
      <c r="O24" s="133">
        <f t="shared" si="0"/>
        <v>0</v>
      </c>
      <c r="P24" s="95" t="str">
        <f>IF(HELP!AF28="ANO","","!!!")</f>
        <v/>
      </c>
      <c r="Q24" s="94" t="str">
        <f>IF(HELP!AF28="ANO","","POZOR! Koeficient pro skupinu NV musí být na všech KÚ shodný!")</f>
        <v/>
      </c>
      <c r="R24" s="135" t="str">
        <f t="shared" si="3"/>
        <v>2</v>
      </c>
      <c r="S24" s="96"/>
      <c r="T24" s="117"/>
      <c r="U24" s="96"/>
      <c r="V24" s="37"/>
      <c r="W24" s="37"/>
      <c r="X24" s="37"/>
    </row>
    <row r="25" spans="1:27" ht="15" customHeight="1" x14ac:dyDescent="0.25">
      <c r="A25" s="5" t="s">
        <v>19</v>
      </c>
      <c r="B25" s="46">
        <v>1.8</v>
      </c>
      <c r="C25" s="40"/>
      <c r="D25" s="48" t="s">
        <v>16</v>
      </c>
      <c r="E25" s="45" t="s">
        <v>16</v>
      </c>
      <c r="F25" s="131" t="str">
        <f>IF(VLOOKUP($B$7,Všechny_obce_koeficienty!$D$2:$U$1045,18,FALSE)="","1,0",VLOOKUP($B$7,Všechny_obce_koeficienty!$D$2:$U$1045,18,FALSE))</f>
        <v>2</v>
      </c>
      <c r="G25" s="126">
        <f>VLOOKUP($B$7,Obce_vynos!B3:AB1045,24,FALSE)</f>
        <v>70974</v>
      </c>
      <c r="H25" s="40"/>
      <c r="I25" s="129" t="s">
        <v>16</v>
      </c>
      <c r="J25" s="131" t="str">
        <f t="shared" si="1"/>
        <v>2</v>
      </c>
      <c r="K25" s="131" t="str">
        <f t="shared" si="2"/>
        <v/>
      </c>
      <c r="L25" s="134"/>
      <c r="M25" s="176"/>
      <c r="N25" s="108">
        <f>IF(R25=0,G25/F25,G25/F25*R25)*$L$13</f>
        <v>70974</v>
      </c>
      <c r="O25" s="133">
        <f t="shared" si="0"/>
        <v>0</v>
      </c>
      <c r="P25" s="95" t="str">
        <f>IF(HELP!AF31="ANO","","!!!")</f>
        <v/>
      </c>
      <c r="Q25" s="94" t="str">
        <f>IF(HELP!AF31="ANO","","POZOR! Koeficient pro skupinu NV musí být na všech KÚ shodný!")</f>
        <v/>
      </c>
      <c r="R25" s="135" t="str">
        <f t="shared" si="3"/>
        <v>2</v>
      </c>
      <c r="S25" s="96"/>
      <c r="T25" s="117"/>
      <c r="U25" s="96"/>
      <c r="V25" s="37"/>
      <c r="W25" s="37"/>
      <c r="X25" s="37"/>
    </row>
    <row r="26" spans="1:27" ht="15" customHeight="1" thickBot="1" x14ac:dyDescent="0.3">
      <c r="A26" s="6" t="s">
        <v>18</v>
      </c>
      <c r="B26" s="49">
        <v>9</v>
      </c>
      <c r="C26" s="40"/>
      <c r="D26" s="50" t="s">
        <v>16</v>
      </c>
      <c r="E26" s="51" t="s">
        <v>16</v>
      </c>
      <c r="F26" s="52" t="str">
        <f>IF(VLOOKUP($B$7,Všechny_obce_koeficienty!$D$2:$U$1045,18,FALSE)="","1,0",VLOOKUP($B$7,Všechny_obce_koeficienty!$D$2:$U$1045,18,FALSE))</f>
        <v>2</v>
      </c>
      <c r="G26" s="127">
        <f>VLOOKUP($B$7,Obce_vynos!B3:AB1045,25,FALSE)</f>
        <v>0</v>
      </c>
      <c r="H26" s="40"/>
      <c r="I26" s="53" t="s">
        <v>16</v>
      </c>
      <c r="J26" s="52" t="str">
        <f t="shared" si="1"/>
        <v>2</v>
      </c>
      <c r="K26" s="52" t="str">
        <f t="shared" si="2"/>
        <v/>
      </c>
      <c r="L26" s="124"/>
      <c r="M26" s="176"/>
      <c r="N26" s="109">
        <f>IF(R26=0,G26/F26,G26/F26*R26)*$L$13</f>
        <v>0</v>
      </c>
      <c r="O26" s="110">
        <f t="shared" si="0"/>
        <v>0</v>
      </c>
      <c r="P26" s="95" t="str">
        <f>IF(HELP!AF34="ANO","","!!!")</f>
        <v/>
      </c>
      <c r="Q26" s="94" t="str">
        <f>IF(HELP!AF34="ANO","","POZOR! Koeficient pro skupinu NV musí být na všech KÚ shodný!")</f>
        <v/>
      </c>
      <c r="R26" s="135" t="str">
        <f t="shared" si="3"/>
        <v>2</v>
      </c>
      <c r="S26" s="96"/>
      <c r="T26" s="117"/>
      <c r="U26" s="96"/>
      <c r="V26" s="37"/>
      <c r="W26" s="37"/>
      <c r="X26" s="37"/>
    </row>
    <row r="27" spans="1:27" ht="5.0999999999999996" customHeight="1" thickBot="1" x14ac:dyDescent="0.3">
      <c r="A27" s="32"/>
      <c r="B27" s="54"/>
      <c r="C27" s="40"/>
      <c r="D27" s="55"/>
      <c r="E27" s="56"/>
      <c r="F27" s="56"/>
      <c r="G27" s="57"/>
      <c r="H27" s="40"/>
      <c r="I27" s="58"/>
      <c r="J27" s="38"/>
      <c r="K27" s="38"/>
      <c r="L27" s="38"/>
      <c r="M27" s="40"/>
      <c r="N27" s="59"/>
      <c r="O27" s="60"/>
      <c r="P27" s="95" t="str">
        <f>IFERROR(IF(AND(L27=#REF!,L27=#REF!,L27=#REF!,L27=#REF!,L27=#REF!,L27=#REF!,L27=#REF!,L27=#REF!,L27=#REF!,L27=#REF!,L27=#REF!,L27=#REF!),"","!!!"),IFERROR(IF(AND(L27=#REF!,L27=#REF!,L27=#REF!,L27=#REF!,L27=#REF!,L27=#REF!,L27=#REF!,L27=#REF!,L27=#REF!,L27=#REF!,L27=#REF!),"","!!!"),IFERROR(IF(AND(L27=#REF!,L27=#REF!,L27=#REF!,L27=#REF!,L27=#REF!,L27=#REF!,L27=#REF!,L27=#REF!,L27=#REF!,L27=#REF!),"","!!!"),IFERROR(IF(AND(L27=#REF!,L27=#REF!,L27=#REF!,L27=#REF!,L27=#REF!,L27=#REF!,L27=#REF!,L27=#REF!,L27=#REF!,),"","!!!"),IFERROR(IF(AND(L27=#REF!,L27=#REF!,L27=#REF!,L27=#REF!,L27=#REF!,L27=#REF!,L27=#REF!,L27=#REF!),"","!!!"),IFERROR(IF(AND(L27=#REF!,L27=#REF!,L27=#REF!,L27=#REF!,L27=#REF!,L27=#REF!,L27=#REF!),"","!!!"),IFERROR(IF(AND(L27=#REF!,L27=#REF!,L27=#REF!,L27=#REF!,L27=#REF!,L27=#REF!),"","!!!"),IFERROR(IF(AND(L27=#REF!,L27=#REF!,L27=#REF!,L27=#REF!,L27=#REF!),"","!!!"),IFERROR(IF(AND(L27=#REF!,L27=#REF!,L27=#REF!,L27=#REF!),"","!!!"),IFERROR(IF(AND(L27=#REF!,L27=#REF!,L27=#REF!),"","!!!"),IFERROR(IF(AND(L27=#REF!,L27=#REF!),"","!!!"),IFERROR(IF(AND(L27=#REF!),"","!!!"),""))))))))))))</f>
        <v/>
      </c>
      <c r="Q27" s="94" t="str">
        <f>IFERROR(IF(AND(L27=#REF!,L27=#REF!,L27=#REF!,L27=#REF!,L27=#REF!,L27=#REF!,L27=#REF!,L27=#REF!,L27=#REF!,L27=#REF!,L27=#REF!,L27=#REF!),"","POZOR! Koeficient pro skupinu NV musí být na všech KÚ shodný!"),IFERROR(IF(AND(L27=#REF!,L27=#REF!,L27=#REF!,L27=#REF!,L27=#REF!,L27=#REF!,L27=#REF!,L27=#REF!,L27=#REF!,L27=#REF!,L27=#REF!),"","POZOR! Koeficient pro skupinu NV musí být na všech KÚ shodný!"),IFERROR(IF(AND(L27=#REF!,L27=#REF!,L27=#REF!,L27=#REF!,L27=#REF!,L27=#REF!,L27=#REF!,L27=#REF!,L27=#REF!,L27=#REF!),"","POZOR! Koeficient pro skupinu NV musí být na všech KÚ shodný!"),IFERROR(IF(AND(L27=#REF!,L27=#REF!,L27=#REF!,L27=#REF!,L27=#REF!,L27=#REF!,L27=#REF!,L27=#REF!,L27=#REF!,),"","POZOR! Koeficient pro skupinu NV musí být na všech KÚ shodný!"),IFERROR(IF(AND(L27=#REF!,L27=#REF!,L27=#REF!,L27=#REF!,L27=#REF!,L27=#REF!,L27=#REF!,L27=#REF!),"","POZOR! Koeficient pro skupinu NV musí být na všech KÚ shodný!"),IFERROR(IF(AND(L27=#REF!,L27=#REF!,L27=#REF!,L27=#REF!,L27=#REF!,L27=#REF!,L27=#REF!),"","POZOR! Koeficient pro skupinu NV musí být na všech KÚ shodný!"),IFERROR(IF(AND(L27=#REF!,L27=#REF!,L27=#REF!,L27=#REF!,L27=#REF!,L27=#REF!),"","POZOR! Koeficient pro skupinu NV musí být na všech KÚ shodný!"),IFERROR(IF(AND(L27=#REF!,L27=#REF!,L27=#REF!,L27=#REF!,L27=#REF!),"","POZOR! Koeficient pro skupinu NV musí být na všech KÚ shodný!"),IFERROR(IF(AND(L27=#REF!,L27=#REF!,L27=#REF!,L27=#REF!),"","POZOR! Koeficient pro skupinu NV musí být na všech KÚ shodný!"),IFERROR(IF(AND(L27=#REF!,L27=#REF!,L27=#REF!),"","POZOR! Koeficient pro skupinu NV musí být na všech KÚ shodný!"),IFERROR(IF(AND(L27=#REF!,L27=#REF!),"","POZOR! Koeficient pro skupinu NV musí být na všech KÚ shodný!"),IFERROR(IF(AND(L27=#REF!),"","POZOR! Koeficient pro skupinu NV musí být na všech KÚ shodný!"),""))))))))))))</f>
        <v/>
      </c>
      <c r="R27" s="135" t="str">
        <f t="shared" si="3"/>
        <v>2</v>
      </c>
      <c r="S27" s="96"/>
      <c r="T27" s="117"/>
      <c r="U27" s="96"/>
      <c r="V27" s="37"/>
      <c r="W27" s="37"/>
      <c r="X27" s="37"/>
    </row>
    <row r="28" spans="1:27" ht="30" x14ac:dyDescent="0.25">
      <c r="A28" s="7" t="s">
        <v>74</v>
      </c>
      <c r="B28" s="61">
        <v>3.5</v>
      </c>
      <c r="C28" s="40"/>
      <c r="D28" s="130">
        <f>IF(VLOOKUP($B$7,Všechny_obce_koeficienty!$D$2:$U$1045,4,FALSE)="",1,VLOOKUP($B$7,Všechny_obce_koeficienty!$D$2:$U$1045,4,FALSE))</f>
        <v>1.4</v>
      </c>
      <c r="E28" s="62" t="s">
        <v>16</v>
      </c>
      <c r="F28" s="63" t="str">
        <f>IF(VLOOKUP($B$7,Všechny_obce_koeficienty!$D$2:$U$1045,18,FALSE)="","1,0",VLOOKUP($B$7,Všechny_obce_koeficienty!$D$2:$U$1045,18,FALSE))</f>
        <v>2</v>
      </c>
      <c r="G28" s="64">
        <f>VLOOKUP($B$7,Obce_vynos!B3:AB1045,8,FALSE)+VLOOKUP($B$7,Obce_vynos!B3:AB1045,9,FALSE)</f>
        <v>108980</v>
      </c>
      <c r="H28" s="40"/>
      <c r="I28" s="120">
        <v>1.4</v>
      </c>
      <c r="J28" s="63" t="str">
        <f t="shared" si="1"/>
        <v>2</v>
      </c>
      <c r="K28" s="63" t="str">
        <f t="shared" si="2"/>
        <v/>
      </c>
      <c r="L28" s="125"/>
      <c r="M28" s="176"/>
      <c r="N28" s="111">
        <f>IF(R28=0,G28/D28*I28/F28,G28/D28*I28/F28*R28)*$L$13</f>
        <v>108980</v>
      </c>
      <c r="O28" s="112">
        <f>N28-G28</f>
        <v>0</v>
      </c>
      <c r="P28" s="95" t="str">
        <f>IF(HELP!AF37="ANO","","!!!")</f>
        <v/>
      </c>
      <c r="Q28" s="94" t="str">
        <f>IF(HELP!AF37="ANO","","POZOR! Koeficient pro skupinu NV musí být na všech KÚ shodný!")</f>
        <v/>
      </c>
      <c r="R28" s="135" t="str">
        <f t="shared" si="3"/>
        <v>2</v>
      </c>
      <c r="S28" s="117">
        <f>IF(O5&lt;=1000,Koef!I11,IF(O5&lt;=6000,Koef!J12,IF(O5&lt;=10000,Koef!K13,IF(O5&lt;=25000,Koef!L14,IF(O5&lt;=50000,Koef!L15,Koef!L16)))))</f>
        <v>1.4</v>
      </c>
      <c r="T28" s="117">
        <f>IF(S28&gt;=D28,S28,D28)</f>
        <v>1.4</v>
      </c>
      <c r="U28" s="96"/>
      <c r="V28" s="37"/>
      <c r="W28" s="37"/>
      <c r="X28" s="37"/>
    </row>
    <row r="29" spans="1:27" ht="30" customHeight="1" x14ac:dyDescent="0.25">
      <c r="A29" s="5" t="s">
        <v>75</v>
      </c>
      <c r="B29" s="46">
        <v>3.5</v>
      </c>
      <c r="C29" s="40"/>
      <c r="D29" s="130">
        <f>IF(VLOOKUP($B$7,Všechny_obce_koeficienty!$D$2:$U$1045,12,FALSE)="",1,VLOOKUP($B$7,Všechny_obce_koeficienty!$D$2:$U$1045,12,FALSE))</f>
        <v>1.4</v>
      </c>
      <c r="E29" s="45" t="s">
        <v>16</v>
      </c>
      <c r="F29" s="131" t="str">
        <f>IF(VLOOKUP($B$7,Všechny_obce_koeficienty!$D$2:$U$1045,18,FALSE)="","1,0",VLOOKUP($B$7,Všechny_obce_koeficienty!$D$2:$U$1045,18,FALSE))</f>
        <v>2</v>
      </c>
      <c r="G29" s="126">
        <f>VLOOKUP($B$7,Obce_vynos!B3:AB1045,18,FALSE)+VLOOKUP($B$7,Obce_vynos!B3:AB1045,26,FALSE)</f>
        <v>3842</v>
      </c>
      <c r="H29" s="40"/>
      <c r="I29" s="120">
        <v>1.4</v>
      </c>
      <c r="J29" s="131" t="str">
        <f t="shared" si="1"/>
        <v>2</v>
      </c>
      <c r="K29" s="131" t="str">
        <f t="shared" si="2"/>
        <v/>
      </c>
      <c r="L29" s="134"/>
      <c r="M29" s="176"/>
      <c r="N29" s="108">
        <f>IF(R29=0,G29/D29*I29/F29,G29/D29*I29/F29*R29)*$L$13</f>
        <v>3842.0000000000005</v>
      </c>
      <c r="O29" s="133">
        <f>N29-G29</f>
        <v>0</v>
      </c>
      <c r="P29" s="95" t="str">
        <f>IF(HELP!AF40="ANO","","!!!")</f>
        <v/>
      </c>
      <c r="Q29" s="94" t="str">
        <f>IF(HELP!AF40="ANO","","POZOR! Koeficient pro skupinu NV musí být na všech KÚ shodný!")</f>
        <v/>
      </c>
      <c r="R29" s="135" t="str">
        <f t="shared" si="3"/>
        <v>2</v>
      </c>
      <c r="S29" s="117">
        <f>IF(O5&lt;=1000,Koef!I11,IF(O5&lt;=6000,Koef!J12,IF(O5&lt;=10000,Koef!K13,IF(O5&lt;=25000,Koef!L14,IF(O5&lt;=50000,Koef!L15,Koef!L16)))))</f>
        <v>1.4</v>
      </c>
      <c r="T29" s="117">
        <f>IF(S29&gt;=D29,S29,D29)</f>
        <v>1.4</v>
      </c>
      <c r="U29" s="117"/>
      <c r="V29" s="37"/>
      <c r="W29" s="37"/>
      <c r="X29" s="37"/>
    </row>
    <row r="30" spans="1:27" ht="15" customHeight="1" x14ac:dyDescent="0.25">
      <c r="A30" s="155" t="s">
        <v>76</v>
      </c>
      <c r="B30" s="46">
        <v>11</v>
      </c>
      <c r="C30" s="40"/>
      <c r="D30" s="236" t="s">
        <v>16</v>
      </c>
      <c r="E30" s="151">
        <f>IF(VLOOKUP($B$7,Všechny_obce_koeficienty!$D$2:$U$1045,6,FALSE)=1.5,1.5,IF(VLOOKUP($B$7,Všechny_obce_koeficienty!$D$2:$U$1045,6,FALSE)=3,1.5,1))</f>
        <v>1.5</v>
      </c>
      <c r="F30" s="151" t="str">
        <f>IF(VLOOKUP($B$7,Všechny_obce_koeficienty!$D$2:$U$1045,18,FALSE)="","1,0",VLOOKUP($B$7,Všechny_obce_koeficienty!$D$2:$U$1045,18,FALSE))</f>
        <v>2</v>
      </c>
      <c r="G30" s="245">
        <f>VLOOKUP($B$7,Obce_vynos!B3:AB1045,10,FALSE)+VLOOKUP($B$7,Obce_vynos!B3:AB1045,11,FALSE)</f>
        <v>80694</v>
      </c>
      <c r="H30" s="40"/>
      <c r="I30" s="149" t="s">
        <v>16</v>
      </c>
      <c r="J30" s="151" t="str">
        <f t="shared" si="1"/>
        <v>2</v>
      </c>
      <c r="K30" s="151" t="str">
        <f t="shared" si="2"/>
        <v/>
      </c>
      <c r="L30" s="172">
        <v>5</v>
      </c>
      <c r="M30" s="176"/>
      <c r="N30" s="160">
        <f>IF(R30=0,G30/F30/E30,G30/F30/E30*R30)*$L$13</f>
        <v>134490</v>
      </c>
      <c r="O30" s="162">
        <f>N30-G30</f>
        <v>53796</v>
      </c>
      <c r="P30" s="153" t="str">
        <f>IF(HELP!AF43="ANO","","!!!")</f>
        <v/>
      </c>
      <c r="Q30" s="154" t="str">
        <f>IF(HELP!AF43="ANO","","POZOR! Koeficient pro skupinu NV musí být na všech KÚ shodný!")</f>
        <v/>
      </c>
      <c r="R30" s="164">
        <f t="shared" si="3"/>
        <v>5</v>
      </c>
      <c r="S30" s="97"/>
      <c r="T30" s="117"/>
      <c r="U30" s="97"/>
      <c r="V30" s="100"/>
      <c r="W30" s="100"/>
      <c r="X30" s="100"/>
    </row>
    <row r="31" spans="1:27" ht="15" customHeight="1" x14ac:dyDescent="0.25">
      <c r="A31" s="156"/>
      <c r="B31" s="65">
        <v>3.5</v>
      </c>
      <c r="C31" s="40"/>
      <c r="D31" s="237"/>
      <c r="E31" s="152"/>
      <c r="F31" s="152"/>
      <c r="G31" s="246"/>
      <c r="H31" s="40"/>
      <c r="I31" s="150"/>
      <c r="J31" s="152"/>
      <c r="K31" s="152"/>
      <c r="L31" s="173"/>
      <c r="M31" s="176"/>
      <c r="N31" s="161"/>
      <c r="O31" s="163"/>
      <c r="P31" s="153"/>
      <c r="Q31" s="154"/>
      <c r="R31" s="164"/>
      <c r="S31" s="97"/>
      <c r="T31" s="97"/>
      <c r="U31" s="97"/>
      <c r="V31" s="100"/>
      <c r="W31" s="100"/>
      <c r="X31" s="100"/>
    </row>
    <row r="32" spans="1:27" ht="15.75" customHeight="1" x14ac:dyDescent="0.25">
      <c r="A32" s="155" t="s">
        <v>103</v>
      </c>
      <c r="B32" s="247">
        <v>14.5</v>
      </c>
      <c r="C32" s="66"/>
      <c r="D32" s="157" t="s">
        <v>16</v>
      </c>
      <c r="E32" s="131">
        <f>IF(VLOOKUP($B$7,Všechny_obce_koeficienty!$D$2:$U$1045,8,FALSE)="","1,0",VLOOKUP($B$7,Všechny_obce_koeficienty!$D$2:$U$1045,8,FALSE))</f>
        <v>1.5</v>
      </c>
      <c r="F32" s="151" t="str">
        <f>IF(VLOOKUP($B$7,Všechny_obce_koeficienty!$D$2:$U$1045,18,FALSE)="","1,0",VLOOKUP($B$7,Všechny_obce_koeficienty!$D$2:$U$1045,18,FALSE))</f>
        <v>2</v>
      </c>
      <c r="G32" s="126">
        <f>VLOOKUP($B$7,Obce_vynos!B3:AB1045,12,FALSE)</f>
        <v>3438</v>
      </c>
      <c r="H32" s="67"/>
      <c r="I32" s="149" t="s">
        <v>16</v>
      </c>
      <c r="J32" s="151" t="str">
        <f t="shared" si="1"/>
        <v>2</v>
      </c>
      <c r="K32" s="151" t="str">
        <f t="shared" si="2"/>
        <v/>
      </c>
      <c r="L32" s="172">
        <v>3</v>
      </c>
      <c r="M32" s="176"/>
      <c r="N32" s="160">
        <f>(IF(R32=0,G32/F32/E32,G32/F32/E32*R32)*$L$13)+(IF(R32=0,G33/F32/E33,G33/F32/E33*R32)*$L$13)</f>
        <v>3438</v>
      </c>
      <c r="O32" s="162">
        <f>N32-G32-G33</f>
        <v>0</v>
      </c>
      <c r="P32" s="153" t="str">
        <f>IF(HELP!AF46="ANO","","!!!")</f>
        <v/>
      </c>
      <c r="Q32" s="154" t="str">
        <f>IF(HELP!AF46="ANO","","POZOR! Koeficient pro skupinu NV musí být na všech KÚ shodný!")</f>
        <v/>
      </c>
      <c r="R32" s="159">
        <f>IF(IF(L32&gt;=$K$7,L32,IF(L32="",$K$7,IF($K$7="",$J$7,$K$7)))=0,$J$7,IF(L32&gt;=$K$7,L32,IF(L32="",$K$7,IF($K$7="",$J$7,$K$7))))</f>
        <v>3</v>
      </c>
      <c r="S32" s="96"/>
      <c r="T32" s="96"/>
      <c r="U32" s="98"/>
      <c r="V32" s="101"/>
      <c r="W32" s="101"/>
      <c r="X32" s="37"/>
      <c r="Y32" s="35"/>
      <c r="Z32" s="35"/>
      <c r="AA32" s="35"/>
    </row>
    <row r="33" spans="1:27" ht="15.75" x14ac:dyDescent="0.25">
      <c r="A33" s="156"/>
      <c r="B33" s="248"/>
      <c r="C33" s="40"/>
      <c r="D33" s="158"/>
      <c r="E33" s="131" t="str">
        <f>IF(VLOOKUP($B$7,Všechny_obce_koeficienty!$D$2:$U$1045,16,FALSE)="","1,0",VLOOKUP($B$7,Všechny_obce_koeficienty!$D$2:$U$1045,16,FALSE))</f>
        <v>1,0</v>
      </c>
      <c r="F33" s="152"/>
      <c r="G33" s="126">
        <f>VLOOKUP($B$7,Obce_vynos!B3:AB1045,22,FALSE)</f>
        <v>0</v>
      </c>
      <c r="H33" s="40"/>
      <c r="I33" s="150"/>
      <c r="J33" s="152"/>
      <c r="K33" s="152"/>
      <c r="L33" s="173"/>
      <c r="M33" s="176"/>
      <c r="N33" s="161"/>
      <c r="O33" s="163"/>
      <c r="P33" s="153"/>
      <c r="Q33" s="154"/>
      <c r="R33" s="159"/>
      <c r="S33" s="96"/>
      <c r="T33" s="96"/>
      <c r="U33" s="98"/>
      <c r="V33" s="101"/>
      <c r="W33" s="101"/>
      <c r="X33" s="37"/>
      <c r="Y33" s="35"/>
      <c r="Z33" s="35"/>
      <c r="AA33" s="35"/>
    </row>
    <row r="34" spans="1:27" ht="15.75" customHeight="1" x14ac:dyDescent="0.25">
      <c r="A34" s="155" t="s">
        <v>104</v>
      </c>
      <c r="B34" s="247">
        <v>3.5</v>
      </c>
      <c r="C34" s="40"/>
      <c r="D34" s="157" t="s">
        <v>16</v>
      </c>
      <c r="E34" s="131">
        <f>IF(VLOOKUP($B$7,Všechny_obce_koeficienty!$D$2:$U$1045,9,FALSE)="","1,0",VLOOKUP($B$7,Všechny_obce_koeficienty!$D$2:$U$1045,9,FALSE))</f>
        <v>1.5</v>
      </c>
      <c r="F34" s="151" t="str">
        <f>IF(VLOOKUP($B$7,Všechny_obce_koeficienty!$D$2:$U$1045,18,FALSE)="","1,0",VLOOKUP($B$7,Všechny_obce_koeficienty!$D$2:$U$1045,18,FALSE))</f>
        <v>2</v>
      </c>
      <c r="G34" s="126">
        <f>VLOOKUP($B$7,Obce_vynos!B3:AB1045,13,FALSE)</f>
        <v>38148</v>
      </c>
      <c r="H34" s="40"/>
      <c r="I34" s="149" t="s">
        <v>16</v>
      </c>
      <c r="J34" s="151" t="str">
        <f t="shared" si="1"/>
        <v>2</v>
      </c>
      <c r="K34" s="151" t="str">
        <f t="shared" si="2"/>
        <v/>
      </c>
      <c r="L34" s="172">
        <v>3</v>
      </c>
      <c r="M34" s="176"/>
      <c r="N34" s="160">
        <f>IF(R34=0,G34/F34/E34,G34/F34/E34*R34)*$L$13+IF(R34=0,G35/F34/E35,G35/F34/E35*R34)*$L$13</f>
        <v>38148</v>
      </c>
      <c r="O34" s="162">
        <f>N34-G34-G35</f>
        <v>0</v>
      </c>
      <c r="P34" s="153" t="str">
        <f>IF(HELP!AF49="ANO","","!!!")</f>
        <v/>
      </c>
      <c r="Q34" s="154" t="str">
        <f>IF(HELP!AF49="ANO","","POZOR! Koeficient pro skupinu NV musí být na všech KÚ shodný!")</f>
        <v/>
      </c>
      <c r="R34" s="164">
        <f t="shared" si="3"/>
        <v>3</v>
      </c>
      <c r="S34" s="96"/>
      <c r="T34" s="96"/>
      <c r="U34" s="96"/>
      <c r="V34" s="37"/>
      <c r="W34" s="37"/>
      <c r="X34" s="37"/>
    </row>
    <row r="35" spans="1:27" ht="15.75" customHeight="1" x14ac:dyDescent="0.25">
      <c r="A35" s="156"/>
      <c r="B35" s="248"/>
      <c r="C35" s="40"/>
      <c r="D35" s="158"/>
      <c r="E35" s="131" t="str">
        <f>IF(VLOOKUP($B$7,Všechny_obce_koeficienty!$D$2:$U$1045,13,FALSE)="","1,0",VLOOKUP($B$7,Všechny_obce_koeficienty!$D$2:$U$1045,13,FALSE))</f>
        <v>1,0</v>
      </c>
      <c r="F35" s="152"/>
      <c r="G35" s="126">
        <f>VLOOKUP($B$7,Obce_vynos!B3:AB1045,19,FALSE)</f>
        <v>0</v>
      </c>
      <c r="H35" s="40"/>
      <c r="I35" s="150"/>
      <c r="J35" s="152"/>
      <c r="K35" s="152"/>
      <c r="L35" s="173"/>
      <c r="M35" s="176"/>
      <c r="N35" s="161"/>
      <c r="O35" s="163"/>
      <c r="P35" s="153"/>
      <c r="Q35" s="154"/>
      <c r="R35" s="164"/>
      <c r="S35" s="96"/>
      <c r="T35" s="96"/>
      <c r="U35" s="96"/>
      <c r="V35" s="37"/>
      <c r="W35" s="37"/>
      <c r="X35" s="37"/>
    </row>
    <row r="36" spans="1:27" ht="15.75" customHeight="1" x14ac:dyDescent="0.25">
      <c r="A36" s="155" t="s">
        <v>105</v>
      </c>
      <c r="B36" s="247">
        <v>18</v>
      </c>
      <c r="C36" s="40"/>
      <c r="D36" s="157" t="s">
        <v>16</v>
      </c>
      <c r="E36" s="131" t="str">
        <f>IF(VLOOKUP($B$7,Všechny_obce_koeficienty!$D$2:$U$1045,10,FALSE)="","1,0",VLOOKUP($B$7,Všechny_obce_koeficienty!$D$2:$U$1045,10,FALSE))</f>
        <v>1,0</v>
      </c>
      <c r="F36" s="151" t="str">
        <f>IF(VLOOKUP($B$7,Všechny_obce_koeficienty!$D$2:$U$1045,18,FALSE)="","1,0",VLOOKUP($B$7,Všechny_obce_koeficienty!$D$2:$U$1045,18,FALSE))</f>
        <v>2</v>
      </c>
      <c r="G36" s="126">
        <f>VLOOKUP($B$7,Obce_vynos!B3:AB1045,14,FALSE)</f>
        <v>0</v>
      </c>
      <c r="H36" s="40"/>
      <c r="I36" s="149" t="s">
        <v>16</v>
      </c>
      <c r="J36" s="151" t="str">
        <f t="shared" si="1"/>
        <v>2</v>
      </c>
      <c r="K36" s="151" t="str">
        <f t="shared" si="2"/>
        <v/>
      </c>
      <c r="L36" s="172">
        <v>3</v>
      </c>
      <c r="M36" s="176"/>
      <c r="N36" s="160">
        <f>IF(R36=0,G36/F36/E36,G36/F36/E36*R36)*$L$13+IF(R36=0,G37/F36/E37,G37/F36/E37*R36)*$L$13</f>
        <v>0</v>
      </c>
      <c r="O36" s="162">
        <f>N36-G36-G37</f>
        <v>0</v>
      </c>
      <c r="P36" s="153" t="str">
        <f>IF(HELP!AF52="ANO","","!!!")</f>
        <v/>
      </c>
      <c r="Q36" s="154" t="str">
        <f>IF(HELP!AF52="ANO","","POZOR! Koeficient pro skupinu NV musí být na všech KÚ shodný!")</f>
        <v/>
      </c>
      <c r="R36" s="164">
        <f t="shared" si="3"/>
        <v>3</v>
      </c>
      <c r="S36" s="96"/>
      <c r="T36" s="96"/>
      <c r="U36" s="96"/>
      <c r="V36" s="37"/>
      <c r="W36" s="37"/>
      <c r="X36" s="37"/>
    </row>
    <row r="37" spans="1:27" ht="15.75" customHeight="1" x14ac:dyDescent="0.25">
      <c r="A37" s="156"/>
      <c r="B37" s="248"/>
      <c r="C37" s="40"/>
      <c r="D37" s="158"/>
      <c r="E37" s="131" t="str">
        <f>IF(VLOOKUP($B$7,Všechny_obce_koeficienty!$D$2:$U$1045,14,FALSE)="","1,0",VLOOKUP($B$7,Všechny_obce_koeficienty!$D$2:$U$1045,14,FALSE))</f>
        <v>1,0</v>
      </c>
      <c r="F37" s="152"/>
      <c r="G37" s="126">
        <f>VLOOKUP($B$7,Obce_vynos!B3:AB1045,20,FALSE)</f>
        <v>0</v>
      </c>
      <c r="H37" s="40"/>
      <c r="I37" s="150"/>
      <c r="J37" s="152"/>
      <c r="K37" s="152"/>
      <c r="L37" s="173"/>
      <c r="M37" s="176"/>
      <c r="N37" s="161"/>
      <c r="O37" s="163"/>
      <c r="P37" s="153"/>
      <c r="Q37" s="154"/>
      <c r="R37" s="164"/>
      <c r="S37" s="96"/>
      <c r="T37" s="96"/>
      <c r="U37" s="96"/>
      <c r="V37" s="37"/>
      <c r="W37" s="37"/>
      <c r="X37" s="37"/>
    </row>
    <row r="38" spans="1:27" ht="15.75" customHeight="1" x14ac:dyDescent="0.25">
      <c r="A38" s="155" t="s">
        <v>106</v>
      </c>
      <c r="B38" s="247">
        <v>18</v>
      </c>
      <c r="C38" s="40"/>
      <c r="D38" s="157" t="s">
        <v>16</v>
      </c>
      <c r="E38" s="131" t="str">
        <f>IF(VLOOKUP($B$7,Všechny_obce_koeficienty!$D$2:$U$1045,11,FALSE)="","1,0",VLOOKUP($B$7,Všechny_obce_koeficienty!$D$2:$U$1045,11,FALSE))</f>
        <v>1,0</v>
      </c>
      <c r="F38" s="151" t="str">
        <f>IF(VLOOKUP($B$7,Všechny_obce_koeficienty!$D$2:$U$1045,18,FALSE)="","1,0",VLOOKUP($B$7,Všechny_obce_koeficienty!$D$2:$U$1045,18,FALSE))</f>
        <v>2</v>
      </c>
      <c r="G38" s="126">
        <f>VLOOKUP($B$7,Obce_vynos!B3:AB1045,15,FALSE)</f>
        <v>0</v>
      </c>
      <c r="H38" s="40"/>
      <c r="I38" s="149" t="s">
        <v>16</v>
      </c>
      <c r="J38" s="151" t="str">
        <f t="shared" si="1"/>
        <v>2</v>
      </c>
      <c r="K38" s="151" t="str">
        <f t="shared" si="2"/>
        <v/>
      </c>
      <c r="L38" s="172">
        <v>3</v>
      </c>
      <c r="M38" s="176"/>
      <c r="N38" s="160">
        <f>IF(R38=0,G38/F38/E38,G38/F38/E38*R38)*$L$13+IF(R38=0,G39/F38/E39,G39/F38/E39*R38)*$L$13</f>
        <v>18306</v>
      </c>
      <c r="O38" s="162">
        <f>N38-G38-G39</f>
        <v>0</v>
      </c>
      <c r="P38" s="153" t="str">
        <f>IF(HELP!AF55="ANO","","!!!")</f>
        <v/>
      </c>
      <c r="Q38" s="154" t="str">
        <f>IF(HELP!AF55="ANO","","POZOR! Koeficient pro skupinu NV musí být na všech KÚ shodný!")</f>
        <v/>
      </c>
      <c r="R38" s="165">
        <f>IF(IF(L38&gt;=$K$7,L38,IF(L38="",$K$7,IF($K$7="",$J$7,$K$7)))=0,$J$7,IF(L38&gt;=$K$7,L38,IF(L38="",$K$7,IF($K$7="",$J$7,$K$7))))</f>
        <v>3</v>
      </c>
      <c r="S38" s="96"/>
      <c r="T38" s="96"/>
      <c r="U38" s="96"/>
      <c r="V38" s="37"/>
      <c r="W38" s="37"/>
      <c r="X38" s="37"/>
    </row>
    <row r="39" spans="1:27" ht="15.75" x14ac:dyDescent="0.25">
      <c r="A39" s="156"/>
      <c r="B39" s="248"/>
      <c r="C39" s="40"/>
      <c r="D39" s="158"/>
      <c r="E39" s="132">
        <f>IF(VLOOKUP($B$7,Všechny_obce_koeficienty!$D$2:$U$1045,15,FALSE)="","1,0",VLOOKUP($B$7,Všechny_obce_koeficienty!$D$2:$U$1045,15,FALSE))</f>
        <v>1.5</v>
      </c>
      <c r="F39" s="152"/>
      <c r="G39" s="116">
        <f>VLOOKUP($B$7,Obce_vynos!B3:AB1045,21,FALSE)</f>
        <v>18306</v>
      </c>
      <c r="H39" s="40"/>
      <c r="I39" s="150"/>
      <c r="J39" s="152"/>
      <c r="K39" s="152"/>
      <c r="L39" s="173"/>
      <c r="M39" s="176"/>
      <c r="N39" s="161"/>
      <c r="O39" s="163"/>
      <c r="P39" s="153"/>
      <c r="Q39" s="154"/>
      <c r="R39" s="165"/>
      <c r="S39" s="96"/>
      <c r="T39" s="96"/>
      <c r="U39" s="96"/>
      <c r="V39" s="37"/>
      <c r="W39" s="37"/>
      <c r="X39" s="37"/>
    </row>
    <row r="40" spans="1:27" ht="15" customHeight="1" thickBot="1" x14ac:dyDescent="0.3">
      <c r="A40" s="6" t="s">
        <v>11</v>
      </c>
      <c r="B40" s="49">
        <v>11</v>
      </c>
      <c r="C40" s="40"/>
      <c r="D40" s="50" t="s">
        <v>16</v>
      </c>
      <c r="E40" s="68" t="s">
        <v>16</v>
      </c>
      <c r="F40" s="52" t="str">
        <f>IF(VLOOKUP($B$7,Všechny_obce_koeficienty!$D$2:$U$1045,18,FALSE)="","1,0",VLOOKUP($B$7,Všechny_obce_koeficienty!$D$2:$U$1045,18,FALSE))</f>
        <v>2</v>
      </c>
      <c r="G40" s="127">
        <f>VLOOKUP($B$7,Obce_vynos!B3:AB1045,16,FALSE)</f>
        <v>13938</v>
      </c>
      <c r="H40" s="40"/>
      <c r="I40" s="69" t="s">
        <v>16</v>
      </c>
      <c r="J40" s="52" t="str">
        <f t="shared" si="1"/>
        <v>2</v>
      </c>
      <c r="K40" s="52" t="str">
        <f t="shared" si="2"/>
        <v/>
      </c>
      <c r="L40" s="124"/>
      <c r="M40" s="176"/>
      <c r="N40" s="109">
        <f>IF(R40=0,G40/F40,G40/F40*R40)*$L$13</f>
        <v>13938</v>
      </c>
      <c r="O40" s="110">
        <f>N40-G40</f>
        <v>0</v>
      </c>
      <c r="P40" s="95" t="str">
        <f>IF(HELP!AF58="ANO","","!!!")</f>
        <v/>
      </c>
      <c r="Q40" s="94" t="str">
        <f>IF(HELP!AF58="ANO","","POZOR! Koeficient pro skupinu NV musí být na všech KÚ shodný!")</f>
        <v/>
      </c>
      <c r="R40" s="135" t="str">
        <f t="shared" si="3"/>
        <v>2</v>
      </c>
      <c r="S40" s="96"/>
      <c r="T40" s="96"/>
      <c r="U40" s="96"/>
      <c r="V40" s="37"/>
      <c r="W40" s="37"/>
      <c r="X40" s="37"/>
    </row>
    <row r="41" spans="1:27" ht="15.75" thickBot="1" x14ac:dyDescent="0.3">
      <c r="A41" s="3"/>
      <c r="G41" s="8"/>
      <c r="I41" s="235"/>
      <c r="J41" s="235"/>
      <c r="K41" s="235"/>
      <c r="L41" s="235"/>
      <c r="M41" s="235"/>
      <c r="N41" s="235"/>
      <c r="O41" s="235"/>
      <c r="R41" s="37"/>
      <c r="S41" s="37"/>
      <c r="T41" s="37"/>
      <c r="U41" s="37"/>
      <c r="V41" s="37"/>
      <c r="W41" s="37"/>
      <c r="X41" s="37"/>
    </row>
    <row r="42" spans="1:27" ht="20.25" thickBot="1" x14ac:dyDescent="0.35">
      <c r="A42" s="243" t="s">
        <v>12</v>
      </c>
      <c r="B42" s="244"/>
      <c r="C42" s="75"/>
      <c r="D42" s="75"/>
      <c r="E42" s="75"/>
      <c r="F42" s="75"/>
      <c r="G42" s="76">
        <f>SUM(G17:G26)+SUM(G28:G40)</f>
        <v>676213</v>
      </c>
      <c r="H42" s="75"/>
      <c r="I42" s="75"/>
      <c r="J42" s="75"/>
      <c r="K42" s="75"/>
      <c r="L42" s="75"/>
      <c r="M42" s="75"/>
      <c r="N42" s="113">
        <f>N17+N18+N19+N20+N21+N22+N23+N24+N25+N26+N28+N29+N30+N32+N34+N36+N38+N40</f>
        <v>730009</v>
      </c>
      <c r="O42" s="114">
        <f>N42-G42</f>
        <v>53796</v>
      </c>
      <c r="R42" s="37"/>
      <c r="S42" s="37"/>
      <c r="T42" s="37"/>
      <c r="U42" s="37"/>
      <c r="V42" s="37"/>
      <c r="W42" s="37"/>
      <c r="X42" s="37"/>
    </row>
    <row r="43" spans="1:27" x14ac:dyDescent="0.25">
      <c r="R43" s="37"/>
      <c r="S43" s="37"/>
      <c r="T43" s="37"/>
      <c r="U43" s="37"/>
      <c r="V43" s="37"/>
      <c r="W43" s="37"/>
      <c r="X43" s="37"/>
    </row>
    <row r="44" spans="1:27" x14ac:dyDescent="0.25">
      <c r="R44" s="37"/>
      <c r="S44" s="37"/>
      <c r="T44" s="37"/>
      <c r="U44" s="37"/>
      <c r="V44" s="37"/>
      <c r="W44" s="37"/>
      <c r="X44" s="37"/>
    </row>
    <row r="45" spans="1:27" ht="18.75" x14ac:dyDescent="0.25">
      <c r="A45" s="233" t="s">
        <v>13</v>
      </c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R45" s="37"/>
      <c r="S45" s="37"/>
      <c r="T45" s="37"/>
      <c r="U45" s="37"/>
      <c r="V45" s="37"/>
      <c r="W45" s="37"/>
      <c r="X45" s="37"/>
    </row>
    <row r="46" spans="1:27" ht="5.0999999999999996" customHeight="1" thickBot="1" x14ac:dyDescent="0.3">
      <c r="R46" s="37"/>
      <c r="S46" s="37"/>
      <c r="T46" s="37"/>
      <c r="U46" s="37"/>
      <c r="V46" s="37"/>
      <c r="W46" s="37"/>
      <c r="X46" s="37"/>
    </row>
    <row r="47" spans="1:27" ht="56.25" customHeight="1" x14ac:dyDescent="0.25">
      <c r="A47" s="264" t="s">
        <v>15</v>
      </c>
      <c r="B47" s="265"/>
      <c r="C47" s="40"/>
      <c r="D47" s="268" t="s">
        <v>21</v>
      </c>
      <c r="E47" s="269"/>
      <c r="F47" s="269"/>
      <c r="G47" s="270"/>
      <c r="H47" s="77"/>
      <c r="I47" s="177" t="s">
        <v>83</v>
      </c>
      <c r="J47" s="178"/>
      <c r="K47" s="178" t="s">
        <v>20</v>
      </c>
      <c r="L47" s="206"/>
      <c r="M47" s="78"/>
      <c r="N47" s="86" t="s">
        <v>86</v>
      </c>
      <c r="O47" s="258" t="s">
        <v>20</v>
      </c>
      <c r="P47" s="2"/>
      <c r="R47" s="37"/>
      <c r="S47" s="37"/>
      <c r="T47" s="37"/>
      <c r="U47" s="37"/>
      <c r="V47" s="37"/>
    </row>
    <row r="48" spans="1:27" ht="35.25" customHeight="1" thickBot="1" x14ac:dyDescent="0.3">
      <c r="A48" s="266"/>
      <c r="B48" s="267"/>
      <c r="C48" s="40"/>
      <c r="D48" s="261" t="str">
        <f>Koef!B3</f>
        <v>Zdaňovací období roku 2024</v>
      </c>
      <c r="E48" s="262"/>
      <c r="F48" s="262"/>
      <c r="G48" s="263"/>
      <c r="H48" s="77"/>
      <c r="I48" s="179" t="s">
        <v>72</v>
      </c>
      <c r="J48" s="180"/>
      <c r="K48" s="180"/>
      <c r="L48" s="223"/>
      <c r="M48" s="79"/>
      <c r="N48" s="80" t="s">
        <v>72</v>
      </c>
      <c r="O48" s="259"/>
      <c r="P48" s="2"/>
      <c r="R48" s="96"/>
      <c r="S48" s="96"/>
      <c r="T48" s="96"/>
      <c r="U48" s="96"/>
    </row>
    <row r="49" spans="1:21" ht="18" thickTop="1" x14ac:dyDescent="0.25">
      <c r="A49" s="186" t="s">
        <v>88</v>
      </c>
      <c r="B49" s="187"/>
      <c r="C49" s="40"/>
      <c r="D49" s="249">
        <f>150*B28*D28*F28</f>
        <v>1470</v>
      </c>
      <c r="E49" s="250"/>
      <c r="F49" s="250"/>
      <c r="G49" s="251"/>
      <c r="H49" s="40"/>
      <c r="I49" s="260">
        <f>150*B28*T28*F28</f>
        <v>1470</v>
      </c>
      <c r="J49" s="256"/>
      <c r="K49" s="256">
        <f>I49-D49</f>
        <v>0</v>
      </c>
      <c r="L49" s="257"/>
      <c r="M49" s="81"/>
      <c r="N49" s="93">
        <f>IF(R28=0,150*B28*I28*F28,150*B28*I28*R28)</f>
        <v>1470</v>
      </c>
      <c r="O49" s="82">
        <f t="shared" ref="O49:O57" si="4">N49-D49</f>
        <v>0</v>
      </c>
      <c r="R49" s="96"/>
      <c r="S49" s="96"/>
      <c r="T49" s="96"/>
      <c r="U49" s="96"/>
    </row>
    <row r="50" spans="1:21" ht="17.25" x14ac:dyDescent="0.25">
      <c r="A50" s="181" t="s">
        <v>89</v>
      </c>
      <c r="B50" s="182"/>
      <c r="C50" s="40"/>
      <c r="D50" s="183">
        <f>60*1.22*B29*D29*F29</f>
        <v>717.3599999999999</v>
      </c>
      <c r="E50" s="184"/>
      <c r="F50" s="184"/>
      <c r="G50" s="185"/>
      <c r="H50" s="40"/>
      <c r="I50" s="224">
        <f>60*1.22*B29*T29*F29</f>
        <v>717.3599999999999</v>
      </c>
      <c r="J50" s="225"/>
      <c r="K50" s="225">
        <f t="shared" ref="K50:K57" si="5">I50-D50</f>
        <v>0</v>
      </c>
      <c r="L50" s="254"/>
      <c r="M50" s="83"/>
      <c r="N50" s="91">
        <f>IF(R29=0,60*1.22*B29*I29*F29,60*1.22*B29*I29*R29)</f>
        <v>717.3599999999999</v>
      </c>
      <c r="O50" s="84">
        <f t="shared" si="4"/>
        <v>0</v>
      </c>
      <c r="S50" s="37"/>
      <c r="T50" s="37"/>
      <c r="U50" s="37"/>
    </row>
    <row r="51" spans="1:21" ht="17.25" x14ac:dyDescent="0.25">
      <c r="A51" s="181" t="s">
        <v>90</v>
      </c>
      <c r="B51" s="182"/>
      <c r="C51" s="40"/>
      <c r="D51" s="183">
        <f>1000*B17</f>
        <v>47.25</v>
      </c>
      <c r="E51" s="184"/>
      <c r="F51" s="184"/>
      <c r="G51" s="185">
        <f>1000*B17</f>
        <v>47.25</v>
      </c>
      <c r="H51" s="40"/>
      <c r="I51" s="224">
        <f>1000*B17</f>
        <v>47.25</v>
      </c>
      <c r="J51" s="225"/>
      <c r="K51" s="225">
        <f t="shared" si="5"/>
        <v>0</v>
      </c>
      <c r="L51" s="254"/>
      <c r="M51" s="83"/>
      <c r="N51" s="91">
        <f>IF(L17="",1000*B17*J17,1000*B17*L17)</f>
        <v>47.25</v>
      </c>
      <c r="O51" s="84">
        <f t="shared" si="4"/>
        <v>0</v>
      </c>
      <c r="S51" s="37"/>
      <c r="T51" s="37"/>
      <c r="U51" s="37"/>
    </row>
    <row r="52" spans="1:21" ht="15.75" x14ac:dyDescent="0.25">
      <c r="A52" s="228" t="s">
        <v>73</v>
      </c>
      <c r="B52" s="229"/>
      <c r="C52" s="40"/>
      <c r="D52" s="183">
        <f>10000*B17</f>
        <v>472.5</v>
      </c>
      <c r="E52" s="184"/>
      <c r="F52" s="184"/>
      <c r="G52" s="185">
        <f>1000*B18</f>
        <v>15.75</v>
      </c>
      <c r="H52" s="40"/>
      <c r="I52" s="224">
        <f>10000*B17</f>
        <v>472.5</v>
      </c>
      <c r="J52" s="225"/>
      <c r="K52" s="225">
        <f t="shared" si="5"/>
        <v>0</v>
      </c>
      <c r="L52" s="254"/>
      <c r="M52" s="83"/>
      <c r="N52" s="91">
        <f>IF(L17="",10000*B17*J17,10000*B17*L17)</f>
        <v>472.5</v>
      </c>
      <c r="O52" s="84">
        <f t="shared" si="4"/>
        <v>0</v>
      </c>
      <c r="S52" s="37"/>
      <c r="T52" s="37"/>
      <c r="U52" s="37"/>
    </row>
    <row r="53" spans="1:21" ht="17.25" x14ac:dyDescent="0.25">
      <c r="A53" s="181" t="s">
        <v>91</v>
      </c>
      <c r="B53" s="182"/>
      <c r="C53" s="40"/>
      <c r="D53" s="183">
        <f>20*B32*E32*F32</f>
        <v>870</v>
      </c>
      <c r="E53" s="184"/>
      <c r="F53" s="184"/>
      <c r="G53" s="185" t="e">
        <f>20*B32*D32*#REF!</f>
        <v>#VALUE!</v>
      </c>
      <c r="H53" s="40"/>
      <c r="I53" s="224">
        <f>20*B32*F32</f>
        <v>580</v>
      </c>
      <c r="J53" s="225"/>
      <c r="K53" s="225">
        <f t="shared" si="5"/>
        <v>-290</v>
      </c>
      <c r="L53" s="254"/>
      <c r="M53" s="83"/>
      <c r="N53" s="91">
        <f>IF(R32=0,20*B32*F32,20*B32*R32)</f>
        <v>870</v>
      </c>
      <c r="O53" s="84">
        <f t="shared" si="4"/>
        <v>0</v>
      </c>
      <c r="S53" s="37"/>
      <c r="T53" s="37"/>
      <c r="U53" s="37"/>
    </row>
    <row r="54" spans="1:21" ht="17.25" x14ac:dyDescent="0.25">
      <c r="A54" s="181" t="s">
        <v>92</v>
      </c>
      <c r="B54" s="182"/>
      <c r="C54" s="40"/>
      <c r="D54" s="183">
        <f>50*B30*E30*F30</f>
        <v>1650</v>
      </c>
      <c r="E54" s="184"/>
      <c r="F54" s="184"/>
      <c r="G54" s="185" t="e">
        <f>20*B34*D34*#REF!</f>
        <v>#VALUE!</v>
      </c>
      <c r="H54" s="40"/>
      <c r="I54" s="224">
        <f>50*B30*F30</f>
        <v>1100</v>
      </c>
      <c r="J54" s="225"/>
      <c r="K54" s="225">
        <f t="shared" si="5"/>
        <v>-550</v>
      </c>
      <c r="L54" s="254"/>
      <c r="M54" s="83"/>
      <c r="N54" s="91">
        <f>IF(R30=0,50*B30*F30,50*B30*R30)</f>
        <v>2750</v>
      </c>
      <c r="O54" s="84">
        <f t="shared" si="4"/>
        <v>1100</v>
      </c>
      <c r="S54" s="37"/>
      <c r="T54" s="37"/>
      <c r="U54" s="37"/>
    </row>
    <row r="55" spans="1:21" ht="17.25" x14ac:dyDescent="0.25">
      <c r="A55" s="181" t="s">
        <v>93</v>
      </c>
      <c r="B55" s="182"/>
      <c r="C55" s="40"/>
      <c r="D55" s="183">
        <f>200*B34*E34*F34</f>
        <v>2100</v>
      </c>
      <c r="E55" s="184"/>
      <c r="F55" s="184"/>
      <c r="G55" s="185" t="e">
        <f>20*B36*D36*#REF!</f>
        <v>#VALUE!</v>
      </c>
      <c r="H55" s="40"/>
      <c r="I55" s="224">
        <f>200*B34*F34</f>
        <v>1400</v>
      </c>
      <c r="J55" s="225"/>
      <c r="K55" s="225">
        <f t="shared" si="5"/>
        <v>-700</v>
      </c>
      <c r="L55" s="254"/>
      <c r="M55" s="83"/>
      <c r="N55" s="91">
        <f>IF(R34=0,200*B34*F34,200*B34*R34)</f>
        <v>2100</v>
      </c>
      <c r="O55" s="84">
        <f t="shared" si="4"/>
        <v>0</v>
      </c>
      <c r="S55" s="37"/>
      <c r="T55" s="37"/>
      <c r="U55" s="37"/>
    </row>
    <row r="56" spans="1:21" ht="17.25" x14ac:dyDescent="0.25">
      <c r="A56" s="181" t="s">
        <v>94</v>
      </c>
      <c r="B56" s="182"/>
      <c r="C56" s="40"/>
      <c r="D56" s="183">
        <f>200*B36*E36*F36</f>
        <v>7200</v>
      </c>
      <c r="E56" s="184"/>
      <c r="F56" s="184"/>
      <c r="G56" s="185" t="e">
        <f>20*B38*D38*#REF!</f>
        <v>#VALUE!</v>
      </c>
      <c r="H56" s="40"/>
      <c r="I56" s="224">
        <f>200*B36*F36</f>
        <v>7200</v>
      </c>
      <c r="J56" s="225"/>
      <c r="K56" s="225">
        <f t="shared" si="5"/>
        <v>0</v>
      </c>
      <c r="L56" s="254"/>
      <c r="M56" s="83"/>
      <c r="N56" s="91">
        <f>IF(R36=0,200*B36*F36,200*B36*R36)</f>
        <v>10800</v>
      </c>
      <c r="O56" s="84">
        <f t="shared" si="4"/>
        <v>3600</v>
      </c>
    </row>
    <row r="57" spans="1:21" ht="18" thickBot="1" x14ac:dyDescent="0.3">
      <c r="A57" s="226" t="s">
        <v>95</v>
      </c>
      <c r="B57" s="227"/>
      <c r="C57" s="40"/>
      <c r="D57" s="230">
        <f>200*B38*E38*F38</f>
        <v>7200</v>
      </c>
      <c r="E57" s="231"/>
      <c r="F57" s="231"/>
      <c r="G57" s="232" t="e">
        <f>20*B40*D40*#REF!</f>
        <v>#VALUE!</v>
      </c>
      <c r="H57" s="40"/>
      <c r="I57" s="252">
        <f>200*B38*F38</f>
        <v>7200</v>
      </c>
      <c r="J57" s="253"/>
      <c r="K57" s="253">
        <f t="shared" si="5"/>
        <v>0</v>
      </c>
      <c r="L57" s="255"/>
      <c r="M57" s="83"/>
      <c r="N57" s="92">
        <f>IF(R38=0,200*B38*F38,200*B38*R38)</f>
        <v>10800</v>
      </c>
      <c r="O57" s="85">
        <f t="shared" si="4"/>
        <v>3600</v>
      </c>
    </row>
  </sheetData>
  <sheetProtection algorithmName="SHA-512" hashValue="udKYc60qgGDKqD0PrNW1wm+uN6odkxRLGW3n5r+GJ+V+OSJ3w65MUf3LC14CeMUgAV0ByofQDCqLfeEWYVzy6g==" saltValue="zkYcyxfxVMm+UOqRX92Dtg==" spinCount="100000" sheet="1" objects="1" scenarios="1"/>
  <dataConsolidate/>
  <mergeCells count="136">
    <mergeCell ref="A1:P1"/>
    <mergeCell ref="A3:P3"/>
    <mergeCell ref="B5:G5"/>
    <mergeCell ref="B7:G7"/>
    <mergeCell ref="A9:P9"/>
    <mergeCell ref="A11:A16"/>
    <mergeCell ref="B11:B16"/>
    <mergeCell ref="D11:G14"/>
    <mergeCell ref="I11:O11"/>
    <mergeCell ref="I12:O12"/>
    <mergeCell ref="I13:K13"/>
    <mergeCell ref="M13:M16"/>
    <mergeCell ref="N13:N16"/>
    <mergeCell ref="O13:O16"/>
    <mergeCell ref="I14:L14"/>
    <mergeCell ref="D15:F15"/>
    <mergeCell ref="G15:G16"/>
    <mergeCell ref="I15:I16"/>
    <mergeCell ref="L15:L16"/>
    <mergeCell ref="J17:K17"/>
    <mergeCell ref="M17:M26"/>
    <mergeCell ref="J18:K18"/>
    <mergeCell ref="J19:K19"/>
    <mergeCell ref="M28:M40"/>
    <mergeCell ref="A30:A31"/>
    <mergeCell ref="D30:D31"/>
    <mergeCell ref="E30:E31"/>
    <mergeCell ref="F30:F31"/>
    <mergeCell ref="G30:G31"/>
    <mergeCell ref="A32:A33"/>
    <mergeCell ref="B32:B33"/>
    <mergeCell ref="D32:D33"/>
    <mergeCell ref="F32:F33"/>
    <mergeCell ref="I32:I33"/>
    <mergeCell ref="J32:J33"/>
    <mergeCell ref="K32:K33"/>
    <mergeCell ref="I30:I31"/>
    <mergeCell ref="J30:J31"/>
    <mergeCell ref="K30:K31"/>
    <mergeCell ref="L32:L33"/>
    <mergeCell ref="N32:N33"/>
    <mergeCell ref="O32:O33"/>
    <mergeCell ref="P32:P33"/>
    <mergeCell ref="Q32:Q33"/>
    <mergeCell ref="R32:R33"/>
    <mergeCell ref="P30:P31"/>
    <mergeCell ref="Q30:Q31"/>
    <mergeCell ref="R30:R31"/>
    <mergeCell ref="L30:L31"/>
    <mergeCell ref="N30:N31"/>
    <mergeCell ref="O30:O31"/>
    <mergeCell ref="R34:R35"/>
    <mergeCell ref="A36:A37"/>
    <mergeCell ref="B36:B37"/>
    <mergeCell ref="D36:D37"/>
    <mergeCell ref="F36:F37"/>
    <mergeCell ref="I36:I37"/>
    <mergeCell ref="J36:J37"/>
    <mergeCell ref="K36:K37"/>
    <mergeCell ref="L36:L37"/>
    <mergeCell ref="N36:N37"/>
    <mergeCell ref="K34:K35"/>
    <mergeCell ref="L34:L35"/>
    <mergeCell ref="N34:N35"/>
    <mergeCell ref="O34:O35"/>
    <mergeCell ref="P34:P35"/>
    <mergeCell ref="Q34:Q35"/>
    <mergeCell ref="A34:A35"/>
    <mergeCell ref="B34:B35"/>
    <mergeCell ref="D34:D35"/>
    <mergeCell ref="F34:F35"/>
    <mergeCell ref="I34:I35"/>
    <mergeCell ref="J34:J35"/>
    <mergeCell ref="O36:O37"/>
    <mergeCell ref="P36:P37"/>
    <mergeCell ref="Q36:Q37"/>
    <mergeCell ref="R36:R37"/>
    <mergeCell ref="A38:A39"/>
    <mergeCell ref="B38:B39"/>
    <mergeCell ref="D38:D39"/>
    <mergeCell ref="F38:F39"/>
    <mergeCell ref="I38:I39"/>
    <mergeCell ref="J38:J39"/>
    <mergeCell ref="R38:R39"/>
    <mergeCell ref="K38:K39"/>
    <mergeCell ref="L38:L39"/>
    <mergeCell ref="N38:N39"/>
    <mergeCell ref="O38:O39"/>
    <mergeCell ref="P38:P39"/>
    <mergeCell ref="Q38:Q39"/>
    <mergeCell ref="I41:O41"/>
    <mergeCell ref="A42:B42"/>
    <mergeCell ref="A45:P45"/>
    <mergeCell ref="A47:B48"/>
    <mergeCell ref="D47:G47"/>
    <mergeCell ref="I47:J47"/>
    <mergeCell ref="K47:L48"/>
    <mergeCell ref="O47:O48"/>
    <mergeCell ref="D48:G48"/>
    <mergeCell ref="I48:J48"/>
    <mergeCell ref="A49:B49"/>
    <mergeCell ref="D49:G49"/>
    <mergeCell ref="I49:J49"/>
    <mergeCell ref="K49:L49"/>
    <mergeCell ref="A50:B50"/>
    <mergeCell ref="D50:G50"/>
    <mergeCell ref="I50:J50"/>
    <mergeCell ref="K50:L50"/>
    <mergeCell ref="A53:B53"/>
    <mergeCell ref="D53:G53"/>
    <mergeCell ref="I53:J53"/>
    <mergeCell ref="K53:L53"/>
    <mergeCell ref="A54:B54"/>
    <mergeCell ref="D54:G54"/>
    <mergeCell ref="I54:J54"/>
    <mergeCell ref="K54:L54"/>
    <mergeCell ref="A51:B51"/>
    <mergeCell ref="D51:G51"/>
    <mergeCell ref="I51:J51"/>
    <mergeCell ref="K51:L51"/>
    <mergeCell ref="A52:B52"/>
    <mergeCell ref="D52:G52"/>
    <mergeCell ref="I52:J52"/>
    <mergeCell ref="K52:L52"/>
    <mergeCell ref="A57:B57"/>
    <mergeCell ref="D57:G57"/>
    <mergeCell ref="I57:J57"/>
    <mergeCell ref="K57:L57"/>
    <mergeCell ref="A55:B55"/>
    <mergeCell ref="D55:G55"/>
    <mergeCell ref="I55:J55"/>
    <mergeCell ref="K55:L55"/>
    <mergeCell ref="A56:B56"/>
    <mergeCell ref="D56:G56"/>
    <mergeCell ref="I56:J56"/>
    <mergeCell ref="K56:L56"/>
  </mergeCells>
  <conditionalFormatting sqref="J20:J26">
    <cfRule type="expression" dxfId="23" priority="6">
      <formula>IF(L20="",IF(K20="",J20,"NIC"))</formula>
    </cfRule>
  </conditionalFormatting>
  <conditionalFormatting sqref="L20:L26">
    <cfRule type="expression" dxfId="22" priority="7">
      <formula>IF(L20&gt;$K$7,L20,"NIC")</formula>
    </cfRule>
  </conditionalFormatting>
  <conditionalFormatting sqref="L28:L32 L34 L36 L38 L40">
    <cfRule type="expression" dxfId="21" priority="8">
      <formula>IF(L28&gt;$K$7,L28,"NIC")</formula>
    </cfRule>
  </conditionalFormatting>
  <conditionalFormatting sqref="K20:K26">
    <cfRule type="expression" dxfId="20" priority="5">
      <formula>IF(K20&gt;=L20,K20,"NIC")</formula>
    </cfRule>
  </conditionalFormatting>
  <conditionalFormatting sqref="J28:J30">
    <cfRule type="expression" dxfId="19" priority="4">
      <formula>IF(L28="",IF(K28="",J28,"NIC"))</formula>
    </cfRule>
  </conditionalFormatting>
  <conditionalFormatting sqref="K28:K32 K34 K36 K38 K40">
    <cfRule type="expression" dxfId="18" priority="3">
      <formula>IF(K28&gt;=L28,K28,"NIC")</formula>
    </cfRule>
  </conditionalFormatting>
  <conditionalFormatting sqref="J32 J34 J36 J38 J40">
    <cfRule type="expression" dxfId="17" priority="2">
      <formula>IF(L32="",IF(K32="",J32,"NIC"))</formula>
    </cfRule>
  </conditionalFormatting>
  <conditionalFormatting sqref="L17:L19">
    <cfRule type="cellIs" dxfId="16" priority="1" operator="greaterThan">
      <formula>0</formula>
    </cfRule>
  </conditionalFormatting>
  <pageMargins left="0.7" right="0.7" top="0.78740157499999996" bottom="0.78740157499999996" header="0.3" footer="0.3"/>
  <pageSetup paperSize="8" scale="80" orientation="landscape" horizontalDpi="4294967293" r:id="rId1"/>
  <ignoredErrors>
    <ignoredError sqref="N2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Button 1">
              <controlPr defaultSize="0" print="0" autoFill="0" autoPict="0" macro="[0]!makro_2024_obec">
                <anchor moveWithCells="1" sizeWithCells="1">
                  <from>
                    <xdr:col>15</xdr:col>
                    <xdr:colOff>47625</xdr:colOff>
                    <xdr:row>13</xdr:row>
                    <xdr:rowOff>9525</xdr:rowOff>
                  </from>
                  <to>
                    <xdr:col>16</xdr:col>
                    <xdr:colOff>2133600</xdr:colOff>
                    <xdr:row>14</xdr:row>
                    <xdr:rowOff>685800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8ACF339C-5FFA-4E40-AA49-FF286E2D9B85}">
          <x14:formula1>
            <xm:f>IF(O5&lt;=1000,Koef!$I$11:$J$11,IF(O5&lt;=6000,Koef!$J$12:$K$12,IF(O5&lt;=10000,Koef!$K$13:$L$13,IF(O5&lt;=25000,Koef!$L$14:$M$14,IF(O5&lt;=50000,Koef!$L$15:$M$15,Koef!$L$16:$M$16)))))</xm:f>
          </x14:formula1>
          <xm:sqref>I29</xm:sqref>
        </x14:dataValidation>
        <x14:dataValidation type="list" allowBlank="1" showInputMessage="1" showErrorMessage="1" xr:uid="{B02B71A3-8BFD-40C9-822A-621D8F9E0F40}">
          <x14:formula1>
            <xm:f>IF(O5&lt;=1000,Koef!$I$11:$J$11,IF(O5&lt;=6000,Koef!$J$12:$K$12,IF(O5&lt;=10000,Koef!$K$13:$L$13,IF(O5&lt;=25000,Koef!$L$14:$M$14,IF(O5&lt;=50000,Koef!$L$15:$M$15,Koef!$L$16:$M$16)))))</xm:f>
          </x14:formula1>
          <xm:sqref>I28</xm:sqref>
        </x14:dataValidation>
        <x14:dataValidation type="list" allowBlank="1" showInputMessage="1" showErrorMessage="1" xr:uid="{9DB2F570-8568-4B8A-8459-30850BB4E52D}">
          <x14:formula1>
            <xm:f>Koef!$S$12:$S$58</xm:f>
          </x14:formula1>
          <xm:sqref>J16:K16</xm:sqref>
        </x14:dataValidation>
        <x14:dataValidation type="list" allowBlank="1" showInputMessage="1" showErrorMessage="1" xr:uid="{21657F7C-8240-47F5-AB34-86C192C4D52C}">
          <x14:formula1>
            <xm:f>Koef!$R$12:$R$23</xm:f>
          </x14:formula1>
          <xm:sqref>L17:L19</xm:sqref>
        </x14:dataValidation>
        <x14:dataValidation type="list" allowBlank="1" showInputMessage="1" showErrorMessage="1" xr:uid="{E9476238-2BEC-4934-B9FF-E0F1FE48F771}">
          <x14:formula1>
            <xm:f>Koef!$Q$12:$Q$58</xm:f>
          </x14:formula1>
          <xm:sqref>L28:L30 L20:L26 L32 L34 L36 L38 L40</xm:sqref>
        </x14:dataValidation>
        <x14:dataValidation type="list" allowBlank="1" showInputMessage="1" showErrorMessage="1" xr:uid="{7913D382-5284-4D1E-8673-F57EBEDD4493}">
          <x14:formula1>
            <xm:f>IF(O5&lt;=1000,Koef!$I$11:$J$11,IF(O5&lt;=6000,Koef!$J$12:$K$12,IF(O5&lt;=10000,Koef!$K$13:$L$13,IF(O5&lt;=25000,Koef!$L$14:$M$14,IF(O5&lt;=50000,Koef!$L$15:$M$15,Koef!$L$16:$M$16)))))</xm:f>
          </x14:formula1>
          <xm:sqref>I22</xm:sqref>
        </x14:dataValidation>
        <x14:dataValidation type="list" allowBlank="1" showInputMessage="1" showErrorMessage="1" xr:uid="{1CA383AD-3C1F-4EDC-8AA7-990AC26F9A8B}">
          <x14:formula1>
            <xm:f>IF(VLOOKUP(#REF!,Obce_vynos!#REF!,3,FALSE)&lt;=1000,Koef!$I$11:$J$11,Koef!$I$12:$K$12)</xm:f>
          </x14:formula1>
          <xm:sqref>G80</xm:sqref>
        </x14:dataValidation>
        <x14:dataValidation type="list" allowBlank="1" showInputMessage="1" showErrorMessage="1" xr:uid="{B8EC9794-C419-4F51-935D-C447CC74A78C}">
          <x14:formula1>
            <xm:f>Obce_s_KU!$A$2:$A$1150</xm:f>
          </x14:formula1>
          <xm:sqref>B5:G5</xm:sqref>
        </x14:dataValidation>
        <x14:dataValidation type="list" allowBlank="1" showInputMessage="1" showErrorMessage="1" xr:uid="{D8115BF9-F731-4F23-9900-8C083552D8DC}">
          <x14:formula1>
            <xm:f>INDIRECT(VLOOKUP(B5,Obce_s_KU!A2:B1150,2,FALSE))</xm:f>
          </x14:formula1>
          <xm:sqref>B7:G7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32515-5CEE-4E92-A4E5-1CE254C1BAC9}">
  <sheetPr codeName="List10">
    <pageSetUpPr fitToPage="1"/>
  </sheetPr>
  <dimension ref="A1:AA57"/>
  <sheetViews>
    <sheetView topLeftCell="A9" zoomScale="80" zoomScaleNormal="80" workbookViewId="0">
      <selection activeCell="L30" sqref="L30:L31"/>
    </sheetView>
  </sheetViews>
  <sheetFormatPr defaultRowHeight="15" x14ac:dyDescent="0.25"/>
  <cols>
    <col min="1" max="1" width="55.7109375" customWidth="1"/>
    <col min="2" max="2" width="17.28515625" customWidth="1"/>
    <col min="3" max="3" width="1.7109375" customWidth="1"/>
    <col min="4" max="6" width="10.7109375" customWidth="1"/>
    <col min="7" max="7" width="20" customWidth="1"/>
    <col min="8" max="8" width="1.7109375" customWidth="1"/>
    <col min="9" max="9" width="10.7109375" customWidth="1"/>
    <col min="10" max="10" width="13.7109375" customWidth="1"/>
    <col min="11" max="11" width="13.85546875" customWidth="1"/>
    <col min="12" max="12" width="13.42578125" customWidth="1"/>
    <col min="13" max="13" width="1.5703125" customWidth="1"/>
    <col min="14" max="14" width="24.28515625" customWidth="1"/>
    <col min="15" max="15" width="22.85546875" customWidth="1"/>
    <col min="16" max="16" width="3.5703125" customWidth="1"/>
    <col min="17" max="17" width="62.140625" customWidth="1"/>
  </cols>
  <sheetData>
    <row r="1" spans="1:24" ht="23.25" x14ac:dyDescent="0.25">
      <c r="A1" s="188" t="s">
        <v>14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3" spans="1:24" ht="18.75" x14ac:dyDescent="0.25">
      <c r="A3" s="189" t="s">
        <v>0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</row>
    <row r="4" spans="1:24" ht="15.75" thickBot="1" x14ac:dyDescent="0.3">
      <c r="R4" s="96"/>
      <c r="S4" s="96"/>
      <c r="T4" s="96"/>
      <c r="U4" s="96"/>
    </row>
    <row r="5" spans="1:24" ht="16.5" thickBot="1" x14ac:dyDescent="0.3">
      <c r="A5" s="71" t="s">
        <v>1</v>
      </c>
      <c r="B5" s="190" t="s">
        <v>108</v>
      </c>
      <c r="C5" s="191"/>
      <c r="D5" s="191"/>
      <c r="E5" s="191"/>
      <c r="F5" s="191"/>
      <c r="G5" s="192"/>
      <c r="H5" s="40"/>
      <c r="I5" s="40"/>
      <c r="J5" s="40"/>
      <c r="K5" s="40"/>
      <c r="L5" s="40"/>
      <c r="M5" s="40"/>
      <c r="N5" s="71" t="s">
        <v>3</v>
      </c>
      <c r="O5" s="72">
        <f>VLOOKUP(B5,'OBCE, počet obyvatel'!C3:D1591,2,FALSE)</f>
        <v>5095</v>
      </c>
      <c r="R5" s="96"/>
      <c r="S5" s="96"/>
      <c r="T5" s="96"/>
      <c r="U5" s="96"/>
    </row>
    <row r="6" spans="1:24" ht="5.0999999999999996" customHeight="1" thickBot="1" x14ac:dyDescent="0.3">
      <c r="A6" s="71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73"/>
      <c r="O6" s="74"/>
      <c r="R6" s="96"/>
      <c r="S6" s="96"/>
      <c r="T6" s="96"/>
      <c r="U6" s="96"/>
    </row>
    <row r="7" spans="1:24" ht="16.5" thickBot="1" x14ac:dyDescent="0.3">
      <c r="A7" s="71" t="s">
        <v>2</v>
      </c>
      <c r="B7" s="218" t="s">
        <v>116</v>
      </c>
      <c r="C7" s="219"/>
      <c r="D7" s="219"/>
      <c r="E7" s="219"/>
      <c r="F7" s="219"/>
      <c r="G7" s="220"/>
      <c r="H7" s="40"/>
      <c r="I7" s="40"/>
      <c r="J7" s="99" t="str">
        <f>IF(OR(ISBLANK($J$16),$J$16="žádný"),0,$J$16)</f>
        <v>2</v>
      </c>
      <c r="K7" s="99">
        <f>IF(OR(ISBLANK($K$16),$K$16="žádný"),0,$K$16)</f>
        <v>0</v>
      </c>
      <c r="L7" s="40"/>
      <c r="M7" s="40"/>
      <c r="N7" s="73"/>
      <c r="O7" s="40"/>
      <c r="R7" s="96"/>
      <c r="S7" s="37"/>
      <c r="T7" s="37"/>
      <c r="U7" s="37"/>
      <c r="V7" s="37"/>
      <c r="W7" s="37"/>
      <c r="X7" s="37"/>
    </row>
    <row r="8" spans="1:24" x14ac:dyDescent="0.25">
      <c r="R8" s="96"/>
      <c r="S8" s="37"/>
      <c r="T8" s="37"/>
      <c r="U8" s="37"/>
      <c r="V8" s="37"/>
      <c r="W8" s="37"/>
      <c r="X8" s="37"/>
    </row>
    <row r="9" spans="1:24" ht="18.75" x14ac:dyDescent="0.25">
      <c r="A9" s="189" t="s">
        <v>82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R9" s="96"/>
      <c r="S9" s="37"/>
      <c r="T9" s="37"/>
      <c r="U9" s="37"/>
      <c r="V9" s="37"/>
      <c r="W9" s="37"/>
      <c r="X9" s="37"/>
    </row>
    <row r="10" spans="1:24" ht="5.0999999999999996" customHeight="1" thickBot="1" x14ac:dyDescent="0.3">
      <c r="R10" s="96"/>
      <c r="S10" s="37"/>
      <c r="T10" s="37"/>
      <c r="U10" s="37"/>
      <c r="V10" s="37"/>
      <c r="W10" s="37"/>
      <c r="X10" s="37"/>
    </row>
    <row r="11" spans="1:24" ht="26.25" customHeight="1" x14ac:dyDescent="0.25">
      <c r="A11" s="203" t="s">
        <v>81</v>
      </c>
      <c r="B11" s="206" t="s">
        <v>87</v>
      </c>
      <c r="D11" s="209" t="str">
        <f>Koef!B3</f>
        <v>Zdaňovací období roku 2024</v>
      </c>
      <c r="E11" s="210"/>
      <c r="F11" s="210"/>
      <c r="G11" s="211"/>
      <c r="I11" s="200" t="s">
        <v>77</v>
      </c>
      <c r="J11" s="201"/>
      <c r="K11" s="201"/>
      <c r="L11" s="201"/>
      <c r="M11" s="201"/>
      <c r="N11" s="201"/>
      <c r="O11" s="202"/>
      <c r="R11" s="96"/>
      <c r="S11" s="37"/>
      <c r="T11" s="37"/>
      <c r="U11" s="37"/>
      <c r="V11" s="37"/>
      <c r="W11" s="37"/>
      <c r="X11" s="37"/>
    </row>
    <row r="12" spans="1:24" ht="26.25" customHeight="1" thickBot="1" x14ac:dyDescent="0.3">
      <c r="A12" s="204"/>
      <c r="B12" s="207"/>
      <c r="D12" s="212"/>
      <c r="E12" s="213"/>
      <c r="F12" s="213"/>
      <c r="G12" s="214"/>
      <c r="I12" s="197" t="s">
        <v>72</v>
      </c>
      <c r="J12" s="198"/>
      <c r="K12" s="198"/>
      <c r="L12" s="198"/>
      <c r="M12" s="198"/>
      <c r="N12" s="198"/>
      <c r="O12" s="199"/>
      <c r="R12" s="96"/>
      <c r="S12" s="37"/>
      <c r="T12" s="37"/>
      <c r="U12" s="37"/>
      <c r="V12" s="37"/>
      <c r="W12" s="37"/>
      <c r="X12" s="37"/>
    </row>
    <row r="13" spans="1:24" ht="26.25" customHeight="1" x14ac:dyDescent="0.25">
      <c r="A13" s="204"/>
      <c r="B13" s="207"/>
      <c r="D13" s="212"/>
      <c r="E13" s="213"/>
      <c r="F13" s="213"/>
      <c r="G13" s="214"/>
      <c r="I13" s="177" t="s">
        <v>85</v>
      </c>
      <c r="J13" s="178"/>
      <c r="K13" s="178"/>
      <c r="L13" s="70">
        <v>1</v>
      </c>
      <c r="M13" s="174"/>
      <c r="N13" s="177" t="s">
        <v>4</v>
      </c>
      <c r="O13" s="206" t="s">
        <v>17</v>
      </c>
      <c r="R13" s="96" t="str">
        <f>IF(ISBLANK(R11),"",R11)</f>
        <v/>
      </c>
      <c r="S13" s="37"/>
      <c r="T13" s="37"/>
      <c r="U13" s="37"/>
      <c r="V13" s="37"/>
      <c r="W13" s="37"/>
      <c r="X13" s="37"/>
    </row>
    <row r="14" spans="1:24" ht="26.25" customHeight="1" thickBot="1" x14ac:dyDescent="0.3">
      <c r="A14" s="204"/>
      <c r="B14" s="207"/>
      <c r="D14" s="215"/>
      <c r="E14" s="216"/>
      <c r="F14" s="216"/>
      <c r="G14" s="217"/>
      <c r="I14" s="194" t="s">
        <v>84</v>
      </c>
      <c r="J14" s="195"/>
      <c r="K14" s="195"/>
      <c r="L14" s="196"/>
      <c r="M14" s="175"/>
      <c r="N14" s="194"/>
      <c r="O14" s="196"/>
      <c r="R14" s="37"/>
      <c r="S14" s="37"/>
      <c r="T14" s="37"/>
      <c r="U14" s="37"/>
      <c r="V14" s="37"/>
      <c r="W14" s="37"/>
      <c r="X14" s="37"/>
    </row>
    <row r="15" spans="1:24" ht="58.5" customHeight="1" thickTop="1" x14ac:dyDescent="0.25">
      <c r="A15" s="204"/>
      <c r="B15" s="207"/>
      <c r="D15" s="238" t="s">
        <v>69</v>
      </c>
      <c r="E15" s="239"/>
      <c r="F15" s="240"/>
      <c r="G15" s="241" t="s">
        <v>4</v>
      </c>
      <c r="I15" s="221" t="s">
        <v>80</v>
      </c>
      <c r="J15" s="87" t="s">
        <v>96</v>
      </c>
      <c r="K15" s="88" t="s">
        <v>78</v>
      </c>
      <c r="L15" s="170" t="s">
        <v>79</v>
      </c>
      <c r="M15" s="175"/>
      <c r="N15" s="194"/>
      <c r="O15" s="196"/>
      <c r="R15" s="37"/>
      <c r="S15" s="37"/>
      <c r="T15" s="37"/>
      <c r="U15" s="37"/>
      <c r="V15" s="37"/>
      <c r="W15" s="37"/>
      <c r="X15" s="37"/>
    </row>
    <row r="16" spans="1:24" ht="45" customHeight="1" thickBot="1" x14ac:dyDescent="0.3">
      <c r="A16" s="205"/>
      <c r="B16" s="208"/>
      <c r="D16" s="80" t="s">
        <v>80</v>
      </c>
      <c r="E16" s="89">
        <v>1.5</v>
      </c>
      <c r="F16" s="90" t="s">
        <v>96</v>
      </c>
      <c r="G16" s="242"/>
      <c r="I16" s="222"/>
      <c r="J16" s="118" t="s">
        <v>124</v>
      </c>
      <c r="K16" s="119" t="s">
        <v>97</v>
      </c>
      <c r="L16" s="171"/>
      <c r="M16" s="175"/>
      <c r="N16" s="179"/>
      <c r="O16" s="223"/>
      <c r="P16" s="95" t="str">
        <f>IF(HELP!AF4="ANO","","!!!")</f>
        <v/>
      </c>
      <c r="Q16" s="94" t="str">
        <f>IF(HELP!AF4="ANO","","POZOR! Koeficient pro OBEC musí být na všech KÚ shodný!")</f>
        <v/>
      </c>
      <c r="R16" s="96"/>
      <c r="S16" s="96"/>
      <c r="T16" s="117" t="str">
        <f>IF(VLOOKUP($B$7,Všechny_obce_koeficienty!$D$2:$U$1045,18,FALSE)="",1,VLOOKUP($B$7,Všechny_obce_koeficienty!$D$2:$U$1045,18,FALSE))</f>
        <v>2</v>
      </c>
      <c r="U16" s="96" t="s">
        <v>97</v>
      </c>
      <c r="V16" s="37"/>
      <c r="W16" s="37"/>
      <c r="X16" s="37"/>
    </row>
    <row r="17" spans="1:27" ht="15" customHeight="1" thickTop="1" x14ac:dyDescent="0.25">
      <c r="A17" s="36" t="s">
        <v>6</v>
      </c>
      <c r="B17" s="39">
        <f>VLOOKUP(B7,Všechny_obce_koeficienty!D2:U6,2,FALSE)*0.0135</f>
        <v>2.3895E-2</v>
      </c>
      <c r="C17" s="40"/>
      <c r="D17" s="41" t="s">
        <v>16</v>
      </c>
      <c r="E17" s="42" t="s">
        <v>16</v>
      </c>
      <c r="F17" s="43">
        <v>1</v>
      </c>
      <c r="G17" s="128">
        <f>VLOOKUP($B$7,Obce_vynos!B3:AB1045,2,FALSE)</f>
        <v>10156</v>
      </c>
      <c r="H17" s="40"/>
      <c r="I17" s="41" t="s">
        <v>16</v>
      </c>
      <c r="J17" s="166">
        <v>1</v>
      </c>
      <c r="K17" s="167"/>
      <c r="L17" s="121"/>
      <c r="M17" s="176"/>
      <c r="N17" s="106">
        <f>IF(L17="",G17/F17*J17,G17/F17*L17)</f>
        <v>10156</v>
      </c>
      <c r="O17" s="107">
        <f t="shared" ref="O17:O26" si="0">N17-G17</f>
        <v>0</v>
      </c>
      <c r="P17" s="95" t="str">
        <f>IF(HELP!AF7="ANO","","!!!")</f>
        <v/>
      </c>
      <c r="Q17" s="94" t="str">
        <f>IF(HELP!AF7="ANO","","POZOR! Koeficient pro skupinu NV musí být na všech KÚ shodný!")</f>
        <v/>
      </c>
      <c r="R17" s="136"/>
      <c r="S17" s="136"/>
      <c r="T17" s="96"/>
      <c r="U17" s="96"/>
      <c r="V17" s="37"/>
      <c r="W17" s="37"/>
      <c r="X17" s="37"/>
    </row>
    <row r="18" spans="1:27" ht="15" customHeight="1" x14ac:dyDescent="0.25">
      <c r="A18" s="5" t="s">
        <v>5</v>
      </c>
      <c r="B18" s="44">
        <f>VLOOKUP(B7,Všechny_obce_koeficienty!D2:U6,2,FALSE)*0.0045</f>
        <v>7.9649999999999999E-3</v>
      </c>
      <c r="C18" s="40"/>
      <c r="D18" s="129" t="s">
        <v>16</v>
      </c>
      <c r="E18" s="45" t="s">
        <v>16</v>
      </c>
      <c r="F18" s="131">
        <v>1</v>
      </c>
      <c r="G18" s="126">
        <f>VLOOKUP($B$7,Obce_vynos!B3:AB1045,3,FALSE)</f>
        <v>14762</v>
      </c>
      <c r="H18" s="40"/>
      <c r="I18" s="129" t="s">
        <v>16</v>
      </c>
      <c r="J18" s="168">
        <v>1</v>
      </c>
      <c r="K18" s="169"/>
      <c r="L18" s="122"/>
      <c r="M18" s="176"/>
      <c r="N18" s="108">
        <f>IF(L18="",G18/F18*J18,G18/F18*L18)</f>
        <v>14762</v>
      </c>
      <c r="O18" s="133">
        <f t="shared" si="0"/>
        <v>0</v>
      </c>
      <c r="P18" s="95" t="str">
        <f>IF(HELP!AF10="ANO","","!!!")</f>
        <v/>
      </c>
      <c r="Q18" s="94" t="str">
        <f>IF(HELP!AF10="ANO","","POZOR! Koeficient pro skupinu NV musí být na všech KÚ shodný!")</f>
        <v/>
      </c>
      <c r="R18" s="96"/>
      <c r="S18" s="96"/>
      <c r="T18" s="96"/>
      <c r="U18" s="96"/>
      <c r="V18" s="37"/>
      <c r="W18" s="37"/>
      <c r="X18" s="37"/>
    </row>
    <row r="19" spans="1:27" ht="15" customHeight="1" x14ac:dyDescent="0.25">
      <c r="A19" s="5" t="s">
        <v>68</v>
      </c>
      <c r="B19" s="46">
        <v>0.08</v>
      </c>
      <c r="C19" s="40"/>
      <c r="D19" s="129" t="s">
        <v>16</v>
      </c>
      <c r="E19" s="45" t="s">
        <v>16</v>
      </c>
      <c r="F19" s="131">
        <v>1</v>
      </c>
      <c r="G19" s="126">
        <f>VLOOKUP($B$7,Obce_vynos!B3:AB1045,23,FALSE)</f>
        <v>3523</v>
      </c>
      <c r="H19" s="40"/>
      <c r="I19" s="129" t="s">
        <v>16</v>
      </c>
      <c r="J19" s="168">
        <v>1</v>
      </c>
      <c r="K19" s="169"/>
      <c r="L19" s="122"/>
      <c r="M19" s="176"/>
      <c r="N19" s="108">
        <f>IF(L19="",G19/F19*J19,G19/F19*L19)</f>
        <v>3523</v>
      </c>
      <c r="O19" s="133">
        <f t="shared" si="0"/>
        <v>0</v>
      </c>
      <c r="P19" s="95" t="str">
        <f>IF(HELP!AF13="ANO","","!!!")</f>
        <v/>
      </c>
      <c r="Q19" s="94" t="str">
        <f>IF(HELP!AF13="ANO","","POZOR! Koeficient pro skupinu NV musí být na všech KÚ shodný!")</f>
        <v/>
      </c>
      <c r="R19" s="96"/>
      <c r="S19" s="96"/>
      <c r="T19" s="96"/>
      <c r="U19" s="96"/>
      <c r="V19" s="37"/>
      <c r="W19" s="37"/>
      <c r="X19" s="37"/>
    </row>
    <row r="20" spans="1:27" ht="15" customHeight="1" x14ac:dyDescent="0.25">
      <c r="A20" s="5" t="s">
        <v>7</v>
      </c>
      <c r="B20" s="47">
        <f>3.8*0.0045</f>
        <v>1.7099999999999997E-2</v>
      </c>
      <c r="C20" s="40"/>
      <c r="D20" s="48" t="s">
        <v>16</v>
      </c>
      <c r="E20" s="45" t="s">
        <v>16</v>
      </c>
      <c r="F20" s="131" t="str">
        <f>IF(VLOOKUP($B$7,Všechny_obce_koeficienty!$D$2:$U$1045,18,FALSE)="","1,0",VLOOKUP($B$7,Všechny_obce_koeficienty!$D$2:$U$1045,18,FALSE))</f>
        <v>2</v>
      </c>
      <c r="G20" s="126">
        <f>VLOOKUP($B$7,Obce_vynos!B3:AB1045,4,FALSE)</f>
        <v>2264</v>
      </c>
      <c r="H20" s="40"/>
      <c r="I20" s="129" t="s">
        <v>16</v>
      </c>
      <c r="J20" s="131" t="str">
        <f>IF(OR(ISBLANK($J$16),$J$16="žádný"),"",$J$16)</f>
        <v>2</v>
      </c>
      <c r="K20" s="131" t="str">
        <f>IF(OR(ISBLANK($K$16),$K$16="žádný"),"",$K$16)</f>
        <v/>
      </c>
      <c r="L20" s="123"/>
      <c r="M20" s="176"/>
      <c r="N20" s="108">
        <f>IF(R20=0,G20/F20,G20/F20*R20)*$L$13</f>
        <v>2264</v>
      </c>
      <c r="O20" s="133">
        <f t="shared" si="0"/>
        <v>0</v>
      </c>
      <c r="P20" s="95" t="str">
        <f>IF(HELP!AF16="ANO","","!!!")</f>
        <v/>
      </c>
      <c r="Q20" s="94" t="str">
        <f>IF(HELP!AF16="ANO","","POZOR! Koeficient pro skupinu NV musí být na všech KÚ shodný!")</f>
        <v/>
      </c>
      <c r="R20" s="135" t="str">
        <f>IF(IF(L20&gt;=$K$7,L20,IF(L20="",$K$7,IF($K$7="",$J$7,$K$7)))=0,$J$7,IF(L20&gt;=$K$7,L20,IF(L20="",$K$7,IF($K$7="",$J$7,$K$7))))</f>
        <v>2</v>
      </c>
      <c r="S20" s="96"/>
      <c r="T20" s="96"/>
      <c r="U20" s="96"/>
      <c r="V20" s="37"/>
      <c r="W20" s="37"/>
      <c r="X20" s="37"/>
    </row>
    <row r="21" spans="1:27" ht="15" customHeight="1" x14ac:dyDescent="0.25">
      <c r="A21" s="5" t="s">
        <v>8</v>
      </c>
      <c r="B21" s="46">
        <v>0.35</v>
      </c>
      <c r="C21" s="40"/>
      <c r="D21" s="48" t="s">
        <v>16</v>
      </c>
      <c r="E21" s="45" t="s">
        <v>16</v>
      </c>
      <c r="F21" s="131" t="str">
        <f>IF(VLOOKUP($B$7,Všechny_obce_koeficienty!$D$2:$U$1045,18,FALSE)="","1,0",VLOOKUP($B$7,Všechny_obce_koeficienty!$D$2:$U$1045,18,FALSE))</f>
        <v>2</v>
      </c>
      <c r="G21" s="126">
        <f>VLOOKUP($B$7,Obce_vynos!B3:AB1045,5,FALSE)</f>
        <v>20482</v>
      </c>
      <c r="H21" s="40"/>
      <c r="I21" s="129" t="s">
        <v>16</v>
      </c>
      <c r="J21" s="131" t="str">
        <f t="shared" ref="J21:J40" si="1">IF(OR(ISBLANK($J$16),$J$16="žádný"),"",$J$16)</f>
        <v>2</v>
      </c>
      <c r="K21" s="131" t="str">
        <f t="shared" ref="K21:K40" si="2">IF(OR(ISBLANK($K$16),$K$16="žádný"),"",$K$16)</f>
        <v/>
      </c>
      <c r="L21" s="134"/>
      <c r="M21" s="176"/>
      <c r="N21" s="108">
        <f>IF(R21=0,G21/F21,G21/F21*R21)*$L$13</f>
        <v>20482</v>
      </c>
      <c r="O21" s="133">
        <f t="shared" si="0"/>
        <v>0</v>
      </c>
      <c r="P21" s="95" t="str">
        <f>IF(HELP!AF19="ANO","","!!!")</f>
        <v/>
      </c>
      <c r="Q21" s="94" t="str">
        <f>IF(HELP!AF19="ANO","","POZOR! Koeficient pro skupinu NV musí být na všech KÚ shodný!")</f>
        <v/>
      </c>
      <c r="R21" s="135" t="str">
        <f t="shared" ref="R21:R40" si="3">IF(IF(L21&gt;=$K$7,L21,IF(L21="",$K$7,IF($K$7="",$J$7,$K$7)))=0,$J$7,IF(L21&gt;=$K$7,L21,IF(L21="",$K$7,IF($K$7="",$J$7,$K$7))))</f>
        <v>2</v>
      </c>
      <c r="S21" s="96"/>
      <c r="T21" s="96"/>
      <c r="U21" s="96"/>
      <c r="V21" s="37"/>
      <c r="W21" s="37"/>
      <c r="X21" s="37"/>
    </row>
    <row r="22" spans="1:27" ht="15" customHeight="1" x14ac:dyDescent="0.25">
      <c r="A22" s="5" t="s">
        <v>9</v>
      </c>
      <c r="B22" s="46">
        <v>3.5</v>
      </c>
      <c r="C22" s="40"/>
      <c r="D22" s="130">
        <f>IF(VLOOKUP($B$7,Všechny_obce_koeficienty!$D$2:$U$1045,3,FALSE)="",1,VLOOKUP($B$7,Všechny_obce_koeficienty!$D$2:$U$1045,3,FALSE))</f>
        <v>1</v>
      </c>
      <c r="E22" s="45" t="s">
        <v>16</v>
      </c>
      <c r="F22" s="131" t="str">
        <f>IF(VLOOKUP($B$7,Všechny_obce_koeficienty!$D$2:$U$1045,18,FALSE)="","1,0",VLOOKUP($B$7,Všechny_obce_koeficienty!$D$2:$U$1045,18,FALSE))</f>
        <v>2</v>
      </c>
      <c r="G22" s="126">
        <f>VLOOKUP($B$7,Obce_vynos!B3:AB1045,6,FALSE)</f>
        <v>0</v>
      </c>
      <c r="H22" s="40"/>
      <c r="I22" s="120">
        <v>1.4</v>
      </c>
      <c r="J22" s="131" t="str">
        <f t="shared" si="1"/>
        <v>2</v>
      </c>
      <c r="K22" s="131" t="str">
        <f t="shared" si="2"/>
        <v/>
      </c>
      <c r="L22" s="134"/>
      <c r="M22" s="176"/>
      <c r="N22" s="108">
        <f>IF(R22=0,G22/D22*I22/F22,G22/D22*I22/F22*R22)*$L$13</f>
        <v>0</v>
      </c>
      <c r="O22" s="133">
        <f t="shared" si="0"/>
        <v>0</v>
      </c>
      <c r="P22" s="95" t="str">
        <f>IF(HELP!AF22="ANO","","!!!")</f>
        <v/>
      </c>
      <c r="Q22" s="94" t="str">
        <f>IF(HELP!AF22="ANO","","POZOR! Koeficient pro skupinu NV musí být na všech KÚ shodný!")</f>
        <v/>
      </c>
      <c r="R22" s="135" t="str">
        <f t="shared" si="3"/>
        <v>2</v>
      </c>
      <c r="S22" s="117">
        <f>IF(O5&lt;=1000,Koef!I11,IF(O5&lt;=6000,Koef!J12,IF(O5&lt;=10000,Koef!K13,IF(O5&lt;=25000,Koef!L14,IF(O5&lt;=50000,Koef!L15,Koef!L16)))))</f>
        <v>1.4</v>
      </c>
      <c r="T22" s="117">
        <f>IF(S22&gt;=D22,S22,D22)</f>
        <v>1.4</v>
      </c>
      <c r="U22" s="96"/>
      <c r="V22" s="37"/>
      <c r="W22" s="37"/>
      <c r="X22" s="37"/>
    </row>
    <row r="23" spans="1:27" ht="15" customHeight="1" x14ac:dyDescent="0.25">
      <c r="A23" s="5" t="s">
        <v>10</v>
      </c>
      <c r="B23" s="46">
        <v>0.35</v>
      </c>
      <c r="C23" s="40"/>
      <c r="D23" s="48" t="s">
        <v>16</v>
      </c>
      <c r="E23" s="45" t="s">
        <v>16</v>
      </c>
      <c r="F23" s="131" t="str">
        <f>IF(VLOOKUP($B$7,Všechny_obce_koeficienty!$D$2:$U$1045,18,FALSE)="","1,0",VLOOKUP($B$7,Všechny_obce_koeficienty!$D$2:$U$1045,18,FALSE))</f>
        <v>2</v>
      </c>
      <c r="G23" s="126">
        <f>VLOOKUP($B$7,Obce_vynos!B3:AB1045,7,FALSE)</f>
        <v>16882</v>
      </c>
      <c r="H23" s="40"/>
      <c r="I23" s="129" t="s">
        <v>16</v>
      </c>
      <c r="J23" s="131" t="str">
        <f t="shared" si="1"/>
        <v>2</v>
      </c>
      <c r="K23" s="131" t="str">
        <f t="shared" si="2"/>
        <v/>
      </c>
      <c r="L23" s="134"/>
      <c r="M23" s="176"/>
      <c r="N23" s="108">
        <f>IF(R23=0,G23/F23,G23/F23*R23)*$L$13</f>
        <v>16882</v>
      </c>
      <c r="O23" s="133">
        <f t="shared" si="0"/>
        <v>0</v>
      </c>
      <c r="P23" s="95" t="str">
        <f>IF(HELP!AF25="ANO","","!!!")</f>
        <v/>
      </c>
      <c r="Q23" s="94" t="str">
        <f>IF(HELP!AF25="ANO","","POZOR! Koeficient pro skupinu NV musí být na všech KÚ shodný!")</f>
        <v/>
      </c>
      <c r="R23" s="135" t="str">
        <f t="shared" si="3"/>
        <v>2</v>
      </c>
      <c r="S23" s="96"/>
      <c r="T23" s="117"/>
      <c r="U23" s="96"/>
      <c r="V23" s="37"/>
      <c r="W23" s="37"/>
      <c r="X23" s="37"/>
    </row>
    <row r="24" spans="1:27" ht="15" customHeight="1" x14ac:dyDescent="0.25">
      <c r="A24" s="5" t="s">
        <v>67</v>
      </c>
      <c r="B24" s="46">
        <v>0.35</v>
      </c>
      <c r="C24" s="40"/>
      <c r="D24" s="48" t="s">
        <v>16</v>
      </c>
      <c r="E24" s="45" t="s">
        <v>16</v>
      </c>
      <c r="F24" s="131" t="str">
        <f>IF(VLOOKUP($B$7,Všechny_obce_koeficienty!$D$2:$U$1045,18,FALSE)="","1,0",VLOOKUP($B$7,Všechny_obce_koeficienty!$D$2:$U$1045,18,FALSE))</f>
        <v>2</v>
      </c>
      <c r="G24" s="126">
        <f>VLOOKUP($B$7,Obce_vynos!B3:AB1045,17,FALSE)</f>
        <v>36402</v>
      </c>
      <c r="H24" s="40"/>
      <c r="I24" s="129" t="s">
        <v>16</v>
      </c>
      <c r="J24" s="131" t="str">
        <f t="shared" si="1"/>
        <v>2</v>
      </c>
      <c r="K24" s="131" t="str">
        <f t="shared" si="2"/>
        <v/>
      </c>
      <c r="L24" s="134"/>
      <c r="M24" s="176"/>
      <c r="N24" s="108">
        <f>IF(R24=0,G24/F24,G24/F24*R24)*$L$13</f>
        <v>36402</v>
      </c>
      <c r="O24" s="133">
        <f t="shared" si="0"/>
        <v>0</v>
      </c>
      <c r="P24" s="95" t="str">
        <f>IF(HELP!AF28="ANO","","!!!")</f>
        <v/>
      </c>
      <c r="Q24" s="94" t="str">
        <f>IF(HELP!AF28="ANO","","POZOR! Koeficient pro skupinu NV musí být na všech KÚ shodný!")</f>
        <v/>
      </c>
      <c r="R24" s="135" t="str">
        <f t="shared" si="3"/>
        <v>2</v>
      </c>
      <c r="S24" s="96"/>
      <c r="T24" s="117"/>
      <c r="U24" s="96"/>
      <c r="V24" s="37"/>
      <c r="W24" s="37"/>
      <c r="X24" s="37"/>
    </row>
    <row r="25" spans="1:27" ht="15" customHeight="1" x14ac:dyDescent="0.25">
      <c r="A25" s="5" t="s">
        <v>19</v>
      </c>
      <c r="B25" s="46">
        <v>1.8</v>
      </c>
      <c r="C25" s="40"/>
      <c r="D25" s="48" t="s">
        <v>16</v>
      </c>
      <c r="E25" s="45" t="s">
        <v>16</v>
      </c>
      <c r="F25" s="131" t="str">
        <f>IF(VLOOKUP($B$7,Všechny_obce_koeficienty!$D$2:$U$1045,18,FALSE)="","1,0",VLOOKUP($B$7,Všechny_obce_koeficienty!$D$2:$U$1045,18,FALSE))</f>
        <v>2</v>
      </c>
      <c r="G25" s="126">
        <f>VLOOKUP($B$7,Obce_vynos!B3:AB1045,24,FALSE)</f>
        <v>0</v>
      </c>
      <c r="H25" s="40"/>
      <c r="I25" s="129" t="s">
        <v>16</v>
      </c>
      <c r="J25" s="131" t="str">
        <f t="shared" si="1"/>
        <v>2</v>
      </c>
      <c r="K25" s="131" t="str">
        <f t="shared" si="2"/>
        <v/>
      </c>
      <c r="L25" s="134"/>
      <c r="M25" s="176"/>
      <c r="N25" s="108">
        <f>IF(R25=0,G25/F25,G25/F25*R25)*$L$13</f>
        <v>0</v>
      </c>
      <c r="O25" s="133">
        <f t="shared" si="0"/>
        <v>0</v>
      </c>
      <c r="P25" s="95" t="str">
        <f>IF(HELP!AF31="ANO","","!!!")</f>
        <v/>
      </c>
      <c r="Q25" s="94" t="str">
        <f>IF(HELP!AF31="ANO","","POZOR! Koeficient pro skupinu NV musí být na všech KÚ shodný!")</f>
        <v/>
      </c>
      <c r="R25" s="135" t="str">
        <f t="shared" si="3"/>
        <v>2</v>
      </c>
      <c r="S25" s="96"/>
      <c r="T25" s="117"/>
      <c r="U25" s="96"/>
      <c r="V25" s="37"/>
      <c r="W25" s="37"/>
      <c r="X25" s="37"/>
    </row>
    <row r="26" spans="1:27" ht="15" customHeight="1" thickBot="1" x14ac:dyDescent="0.3">
      <c r="A26" s="6" t="s">
        <v>18</v>
      </c>
      <c r="B26" s="49">
        <v>9</v>
      </c>
      <c r="C26" s="40"/>
      <c r="D26" s="50" t="s">
        <v>16</v>
      </c>
      <c r="E26" s="51" t="s">
        <v>16</v>
      </c>
      <c r="F26" s="52" t="str">
        <f>IF(VLOOKUP($B$7,Všechny_obce_koeficienty!$D$2:$U$1045,18,FALSE)="","1,0",VLOOKUP($B$7,Všechny_obce_koeficienty!$D$2:$U$1045,18,FALSE))</f>
        <v>2</v>
      </c>
      <c r="G26" s="127">
        <f>VLOOKUP($B$7,Obce_vynos!B3:AB1045,25,FALSE)</f>
        <v>0</v>
      </c>
      <c r="H26" s="40"/>
      <c r="I26" s="53" t="s">
        <v>16</v>
      </c>
      <c r="J26" s="52" t="str">
        <f t="shared" si="1"/>
        <v>2</v>
      </c>
      <c r="K26" s="52" t="str">
        <f t="shared" si="2"/>
        <v/>
      </c>
      <c r="L26" s="124"/>
      <c r="M26" s="176"/>
      <c r="N26" s="109">
        <f>IF(R26=0,G26/F26,G26/F26*R26)*$L$13</f>
        <v>0</v>
      </c>
      <c r="O26" s="110">
        <f t="shared" si="0"/>
        <v>0</v>
      </c>
      <c r="P26" s="95" t="str">
        <f>IF(HELP!AF34="ANO","","!!!")</f>
        <v/>
      </c>
      <c r="Q26" s="94" t="str">
        <f>IF(HELP!AF34="ANO","","POZOR! Koeficient pro skupinu NV musí být na všech KÚ shodný!")</f>
        <v/>
      </c>
      <c r="R26" s="135" t="str">
        <f t="shared" si="3"/>
        <v>2</v>
      </c>
      <c r="S26" s="96"/>
      <c r="T26" s="117"/>
      <c r="U26" s="96"/>
      <c r="V26" s="37"/>
      <c r="W26" s="37"/>
      <c r="X26" s="37"/>
    </row>
    <row r="27" spans="1:27" ht="5.0999999999999996" customHeight="1" thickBot="1" x14ac:dyDescent="0.3">
      <c r="A27" s="32"/>
      <c r="B27" s="54"/>
      <c r="C27" s="40"/>
      <c r="D27" s="55"/>
      <c r="E27" s="56"/>
      <c r="F27" s="56"/>
      <c r="G27" s="57"/>
      <c r="H27" s="40"/>
      <c r="I27" s="58"/>
      <c r="J27" s="38"/>
      <c r="K27" s="38"/>
      <c r="L27" s="38"/>
      <c r="M27" s="40"/>
      <c r="N27" s="59"/>
      <c r="O27" s="60"/>
      <c r="P27" s="95" t="str">
        <f>IFERROR(IF(AND(L27=#REF!,L27=#REF!,L27=#REF!,L27=#REF!,L27=#REF!,L27=#REF!,L27=#REF!,L27=#REF!,L27=#REF!,L27=#REF!,L27=#REF!,L27=#REF!),"","!!!"),IFERROR(IF(AND(L27=#REF!,L27=#REF!,L27=#REF!,L27=#REF!,L27=#REF!,L27=#REF!,L27=#REF!,L27=#REF!,L27=#REF!,L27=#REF!,L27=#REF!),"","!!!"),IFERROR(IF(AND(L27=#REF!,L27=#REF!,L27=#REF!,L27=#REF!,L27=#REF!,L27=#REF!,L27=#REF!,L27=#REF!,L27=#REF!,L27=#REF!),"","!!!"),IFERROR(IF(AND(L27=#REF!,L27=#REF!,L27=#REF!,L27=#REF!,L27=#REF!,L27=#REF!,L27=#REF!,L27=#REF!,L27=#REF!,),"","!!!"),IFERROR(IF(AND(L27=#REF!,L27=#REF!,L27=#REF!,L27=#REF!,L27=#REF!,L27=#REF!,L27=#REF!,L27=#REF!),"","!!!"),IFERROR(IF(AND(L27=#REF!,L27=#REF!,L27=#REF!,L27=#REF!,L27=#REF!,L27=#REF!,L27=#REF!),"","!!!"),IFERROR(IF(AND(L27=#REF!,L27=#REF!,L27=#REF!,L27=#REF!,L27=#REF!,L27=#REF!),"","!!!"),IFERROR(IF(AND(L27=#REF!,L27=#REF!,L27=#REF!,L27=#REF!,L27=#REF!),"","!!!"),IFERROR(IF(AND(L27=#REF!,L27=#REF!,L27=#REF!,L27=#REF!),"","!!!"),IFERROR(IF(AND(L27=#REF!,L27=#REF!,L27=#REF!),"","!!!"),IFERROR(IF(AND(L27=#REF!,L27=#REF!),"","!!!"),IFERROR(IF(AND(L27=#REF!),"","!!!"),""))))))))))))</f>
        <v/>
      </c>
      <c r="Q27" s="94" t="str">
        <f>IFERROR(IF(AND(L27=#REF!,L27=#REF!,L27=#REF!,L27=#REF!,L27=#REF!,L27=#REF!,L27=#REF!,L27=#REF!,L27=#REF!,L27=#REF!,L27=#REF!,L27=#REF!),"","POZOR! Koeficient pro skupinu NV musí být na všech KÚ shodný!"),IFERROR(IF(AND(L27=#REF!,L27=#REF!,L27=#REF!,L27=#REF!,L27=#REF!,L27=#REF!,L27=#REF!,L27=#REF!,L27=#REF!,L27=#REF!,L27=#REF!),"","POZOR! Koeficient pro skupinu NV musí být na všech KÚ shodný!"),IFERROR(IF(AND(L27=#REF!,L27=#REF!,L27=#REF!,L27=#REF!,L27=#REF!,L27=#REF!,L27=#REF!,L27=#REF!,L27=#REF!,L27=#REF!),"","POZOR! Koeficient pro skupinu NV musí být na všech KÚ shodný!"),IFERROR(IF(AND(L27=#REF!,L27=#REF!,L27=#REF!,L27=#REF!,L27=#REF!,L27=#REF!,L27=#REF!,L27=#REF!,L27=#REF!,),"","POZOR! Koeficient pro skupinu NV musí být na všech KÚ shodný!"),IFERROR(IF(AND(L27=#REF!,L27=#REF!,L27=#REF!,L27=#REF!,L27=#REF!,L27=#REF!,L27=#REF!,L27=#REF!),"","POZOR! Koeficient pro skupinu NV musí být na všech KÚ shodný!"),IFERROR(IF(AND(L27=#REF!,L27=#REF!,L27=#REF!,L27=#REF!,L27=#REF!,L27=#REF!,L27=#REF!),"","POZOR! Koeficient pro skupinu NV musí být na všech KÚ shodný!"),IFERROR(IF(AND(L27=#REF!,L27=#REF!,L27=#REF!,L27=#REF!,L27=#REF!,L27=#REF!),"","POZOR! Koeficient pro skupinu NV musí být na všech KÚ shodný!"),IFERROR(IF(AND(L27=#REF!,L27=#REF!,L27=#REF!,L27=#REF!,L27=#REF!),"","POZOR! Koeficient pro skupinu NV musí být na všech KÚ shodný!"),IFERROR(IF(AND(L27=#REF!,L27=#REF!,L27=#REF!,L27=#REF!),"","POZOR! Koeficient pro skupinu NV musí být na všech KÚ shodný!"),IFERROR(IF(AND(L27=#REF!,L27=#REF!,L27=#REF!),"","POZOR! Koeficient pro skupinu NV musí být na všech KÚ shodný!"),IFERROR(IF(AND(L27=#REF!,L27=#REF!),"","POZOR! Koeficient pro skupinu NV musí být na všech KÚ shodný!"),IFERROR(IF(AND(L27=#REF!),"","POZOR! Koeficient pro skupinu NV musí být na všech KÚ shodný!"),""))))))))))))</f>
        <v/>
      </c>
      <c r="R27" s="135" t="str">
        <f t="shared" si="3"/>
        <v>2</v>
      </c>
      <c r="S27" s="96"/>
      <c r="T27" s="117"/>
      <c r="U27" s="96"/>
      <c r="V27" s="37"/>
      <c r="W27" s="37"/>
      <c r="X27" s="37"/>
    </row>
    <row r="28" spans="1:27" ht="30" x14ac:dyDescent="0.25">
      <c r="A28" s="7" t="s">
        <v>74</v>
      </c>
      <c r="B28" s="61">
        <v>3.5</v>
      </c>
      <c r="C28" s="40"/>
      <c r="D28" s="130">
        <f>IF(VLOOKUP($B$7,Všechny_obce_koeficienty!$D$2:$U$1045,4,FALSE)="",1,VLOOKUP($B$7,Všechny_obce_koeficienty!$D$2:$U$1045,4,FALSE))</f>
        <v>1.4</v>
      </c>
      <c r="E28" s="62" t="s">
        <v>16</v>
      </c>
      <c r="F28" s="63" t="str">
        <f>IF(VLOOKUP($B$7,Všechny_obce_koeficienty!$D$2:$U$1045,18,FALSE)="","1,0",VLOOKUP($B$7,Všechny_obce_koeficienty!$D$2:$U$1045,18,FALSE))</f>
        <v>2</v>
      </c>
      <c r="G28" s="64">
        <f>VLOOKUP($B$7,Obce_vynos!B3:AB1045,8,FALSE)+VLOOKUP($B$7,Obce_vynos!B3:AB1045,9,FALSE)</f>
        <v>99312</v>
      </c>
      <c r="H28" s="40"/>
      <c r="I28" s="120">
        <v>1.4</v>
      </c>
      <c r="J28" s="63" t="str">
        <f t="shared" si="1"/>
        <v>2</v>
      </c>
      <c r="K28" s="63" t="str">
        <f t="shared" si="2"/>
        <v/>
      </c>
      <c r="L28" s="125"/>
      <c r="M28" s="176"/>
      <c r="N28" s="111">
        <f>IF(R28=0,G28/D28*I28/F28,G28/D28*I28/F28*R28)*$L$13</f>
        <v>99311.999999999985</v>
      </c>
      <c r="O28" s="112">
        <f>N28-G28</f>
        <v>0</v>
      </c>
      <c r="P28" s="95" t="str">
        <f>IF(HELP!AF37="ANO","","!!!")</f>
        <v/>
      </c>
      <c r="Q28" s="94" t="str">
        <f>IF(HELP!AF37="ANO","","POZOR! Koeficient pro skupinu NV musí být na všech KÚ shodný!")</f>
        <v/>
      </c>
      <c r="R28" s="135" t="str">
        <f t="shared" si="3"/>
        <v>2</v>
      </c>
      <c r="S28" s="117">
        <f>IF(O5&lt;=1000,Koef!I11,IF(O5&lt;=6000,Koef!J12,IF(O5&lt;=10000,Koef!K13,IF(O5&lt;=25000,Koef!L14,IF(O5&lt;=50000,Koef!L15,Koef!L16)))))</f>
        <v>1.4</v>
      </c>
      <c r="T28" s="117">
        <f>IF(S28&gt;=D28,S28,D28)</f>
        <v>1.4</v>
      </c>
      <c r="U28" s="96"/>
      <c r="V28" s="37"/>
      <c r="W28" s="37"/>
      <c r="X28" s="37"/>
    </row>
    <row r="29" spans="1:27" ht="30" customHeight="1" x14ac:dyDescent="0.25">
      <c r="A29" s="5" t="s">
        <v>75</v>
      </c>
      <c r="B29" s="46">
        <v>3.5</v>
      </c>
      <c r="C29" s="40"/>
      <c r="D29" s="130">
        <f>IF(VLOOKUP($B$7,Všechny_obce_koeficienty!$D$2:$U$1045,12,FALSE)="",1,VLOOKUP($B$7,Všechny_obce_koeficienty!$D$2:$U$1045,12,FALSE))</f>
        <v>1</v>
      </c>
      <c r="E29" s="45" t="s">
        <v>16</v>
      </c>
      <c r="F29" s="131" t="str">
        <f>IF(VLOOKUP($B$7,Všechny_obce_koeficienty!$D$2:$U$1045,18,FALSE)="","1,0",VLOOKUP($B$7,Všechny_obce_koeficienty!$D$2:$U$1045,18,FALSE))</f>
        <v>2</v>
      </c>
      <c r="G29" s="126">
        <f>VLOOKUP($B$7,Obce_vynos!B3:AB1045,18,FALSE)+VLOOKUP($B$7,Obce_vynos!B3:AB1045,26,FALSE)</f>
        <v>0</v>
      </c>
      <c r="H29" s="40"/>
      <c r="I29" s="120">
        <v>1.4</v>
      </c>
      <c r="J29" s="131" t="str">
        <f t="shared" si="1"/>
        <v>2</v>
      </c>
      <c r="K29" s="131" t="str">
        <f t="shared" si="2"/>
        <v/>
      </c>
      <c r="L29" s="134"/>
      <c r="M29" s="176"/>
      <c r="N29" s="108">
        <f>IF(R29=0,G29/D29*I29/F29,G29/D29*I29/F29*R29)*$L$13</f>
        <v>0</v>
      </c>
      <c r="O29" s="133">
        <f>N29-G29</f>
        <v>0</v>
      </c>
      <c r="P29" s="95" t="str">
        <f>IF(HELP!AF40="ANO","","!!!")</f>
        <v/>
      </c>
      <c r="Q29" s="94" t="str">
        <f>IF(HELP!AF40="ANO","","POZOR! Koeficient pro skupinu NV musí být na všech KÚ shodný!")</f>
        <v/>
      </c>
      <c r="R29" s="135" t="str">
        <f t="shared" si="3"/>
        <v>2</v>
      </c>
      <c r="S29" s="117">
        <f>IF(O5&lt;=1000,Koef!I11,IF(O5&lt;=6000,Koef!J12,IF(O5&lt;=10000,Koef!K13,IF(O5&lt;=25000,Koef!L14,IF(O5&lt;=50000,Koef!L15,Koef!L16)))))</f>
        <v>1.4</v>
      </c>
      <c r="T29" s="117">
        <f>IF(S29&gt;=D29,S29,D29)</f>
        <v>1.4</v>
      </c>
      <c r="U29" s="117"/>
      <c r="V29" s="37"/>
      <c r="W29" s="37"/>
      <c r="X29" s="37"/>
    </row>
    <row r="30" spans="1:27" ht="15" customHeight="1" x14ac:dyDescent="0.25">
      <c r="A30" s="155" t="s">
        <v>76</v>
      </c>
      <c r="B30" s="46">
        <v>11</v>
      </c>
      <c r="C30" s="40"/>
      <c r="D30" s="236" t="s">
        <v>16</v>
      </c>
      <c r="E30" s="151">
        <f>IF(VLOOKUP($B$7,Všechny_obce_koeficienty!$D$2:$U$1045,6,FALSE)=1.5,1.5,IF(VLOOKUP($B$7,Všechny_obce_koeficienty!$D$2:$U$1045,6,FALSE)=3,1.5,1))</f>
        <v>1.5</v>
      </c>
      <c r="F30" s="151" t="str">
        <f>IF(VLOOKUP($B$7,Všechny_obce_koeficienty!$D$2:$U$1045,18,FALSE)="","1,0",VLOOKUP($B$7,Všechny_obce_koeficienty!$D$2:$U$1045,18,FALSE))</f>
        <v>2</v>
      </c>
      <c r="G30" s="245">
        <f>VLOOKUP($B$7,Obce_vynos!B3:AB1045,10,FALSE)+VLOOKUP($B$7,Obce_vynos!B3:AB1045,11,FALSE)</f>
        <v>265724</v>
      </c>
      <c r="H30" s="40"/>
      <c r="I30" s="149" t="s">
        <v>16</v>
      </c>
      <c r="J30" s="151" t="str">
        <f t="shared" si="1"/>
        <v>2</v>
      </c>
      <c r="K30" s="151" t="str">
        <f t="shared" si="2"/>
        <v/>
      </c>
      <c r="L30" s="172">
        <v>5</v>
      </c>
      <c r="M30" s="176"/>
      <c r="N30" s="160">
        <f>IF(R30=0,G30/F30/E30,G30/F30/E30*R30)*$L$13</f>
        <v>442873.33333333337</v>
      </c>
      <c r="O30" s="162">
        <f>N30-G30</f>
        <v>177149.33333333337</v>
      </c>
      <c r="P30" s="153" t="str">
        <f>IF(HELP!AF43="ANO","","!!!")</f>
        <v/>
      </c>
      <c r="Q30" s="154" t="str">
        <f>IF(HELP!AF43="ANO","","POZOR! Koeficient pro skupinu NV musí být na všech KÚ shodný!")</f>
        <v/>
      </c>
      <c r="R30" s="164">
        <f t="shared" si="3"/>
        <v>5</v>
      </c>
      <c r="S30" s="97"/>
      <c r="T30" s="117"/>
      <c r="U30" s="97"/>
      <c r="V30" s="100"/>
      <c r="W30" s="100"/>
      <c r="X30" s="100"/>
    </row>
    <row r="31" spans="1:27" ht="15" customHeight="1" x14ac:dyDescent="0.25">
      <c r="A31" s="156"/>
      <c r="B31" s="65">
        <v>3.5</v>
      </c>
      <c r="C31" s="40"/>
      <c r="D31" s="237"/>
      <c r="E31" s="152"/>
      <c r="F31" s="152"/>
      <c r="G31" s="246"/>
      <c r="H31" s="40"/>
      <c r="I31" s="150"/>
      <c r="J31" s="152"/>
      <c r="K31" s="152"/>
      <c r="L31" s="173"/>
      <c r="M31" s="176"/>
      <c r="N31" s="161"/>
      <c r="O31" s="163"/>
      <c r="P31" s="153"/>
      <c r="Q31" s="154"/>
      <c r="R31" s="164"/>
      <c r="S31" s="97"/>
      <c r="T31" s="97"/>
      <c r="U31" s="97"/>
      <c r="V31" s="100"/>
      <c r="W31" s="100"/>
      <c r="X31" s="100"/>
    </row>
    <row r="32" spans="1:27" ht="15.75" customHeight="1" x14ac:dyDescent="0.25">
      <c r="A32" s="155" t="s">
        <v>103</v>
      </c>
      <c r="B32" s="247">
        <v>14.5</v>
      </c>
      <c r="C32" s="66"/>
      <c r="D32" s="157" t="s">
        <v>16</v>
      </c>
      <c r="E32" s="131">
        <f>IF(VLOOKUP($B$7,Všechny_obce_koeficienty!$D$2:$U$1045,8,FALSE)="","1,0",VLOOKUP($B$7,Všechny_obce_koeficienty!$D$2:$U$1045,8,FALSE))</f>
        <v>1.5</v>
      </c>
      <c r="F32" s="151" t="str">
        <f>IF(VLOOKUP($B$7,Všechny_obce_koeficienty!$D$2:$U$1045,18,FALSE)="","1,0",VLOOKUP($B$7,Všechny_obce_koeficienty!$D$2:$U$1045,18,FALSE))</f>
        <v>2</v>
      </c>
      <c r="G32" s="126">
        <f>VLOOKUP($B$7,Obce_vynos!B3:AB1045,12,FALSE)</f>
        <v>6832</v>
      </c>
      <c r="H32" s="67"/>
      <c r="I32" s="149" t="s">
        <v>16</v>
      </c>
      <c r="J32" s="151" t="str">
        <f t="shared" si="1"/>
        <v>2</v>
      </c>
      <c r="K32" s="151" t="str">
        <f t="shared" si="2"/>
        <v/>
      </c>
      <c r="L32" s="172">
        <v>3</v>
      </c>
      <c r="M32" s="176"/>
      <c r="N32" s="160">
        <f>(IF(R32=0,G32/F32/E32,G32/F32/E32*R32)*$L$13)+(IF(R32=0,G33/F32/E33,G33/F32/E33*R32)*$L$13)</f>
        <v>6832</v>
      </c>
      <c r="O32" s="162">
        <f>N32-G32-G33</f>
        <v>0</v>
      </c>
      <c r="P32" s="153" t="str">
        <f>IF(HELP!AF46="ANO","","!!!")</f>
        <v/>
      </c>
      <c r="Q32" s="154" t="str">
        <f>IF(HELP!AF46="ANO","","POZOR! Koeficient pro skupinu NV musí být na všech KÚ shodný!")</f>
        <v/>
      </c>
      <c r="R32" s="159">
        <f>IF(IF(L32&gt;=$K$7,L32,IF(L32="",$K$7,IF($K$7="",$J$7,$K$7)))=0,$J$7,IF(L32&gt;=$K$7,L32,IF(L32="",$K$7,IF($K$7="",$J$7,$K$7))))</f>
        <v>3</v>
      </c>
      <c r="S32" s="96"/>
      <c r="T32" s="96"/>
      <c r="U32" s="98"/>
      <c r="V32" s="101"/>
      <c r="W32" s="101"/>
      <c r="X32" s="37"/>
      <c r="Y32" s="35"/>
      <c r="Z32" s="35"/>
      <c r="AA32" s="35"/>
    </row>
    <row r="33" spans="1:27" ht="15.75" x14ac:dyDescent="0.25">
      <c r="A33" s="156"/>
      <c r="B33" s="248"/>
      <c r="C33" s="40"/>
      <c r="D33" s="158"/>
      <c r="E33" s="131" t="str">
        <f>IF(VLOOKUP($B$7,Všechny_obce_koeficienty!$D$2:$U$1045,16,FALSE)="","1,0",VLOOKUP($B$7,Všechny_obce_koeficienty!$D$2:$U$1045,16,FALSE))</f>
        <v>1,0</v>
      </c>
      <c r="F33" s="152"/>
      <c r="G33" s="126">
        <f>VLOOKUP($B$7,Obce_vynos!B3:AB1045,22,FALSE)</f>
        <v>0</v>
      </c>
      <c r="H33" s="40"/>
      <c r="I33" s="150"/>
      <c r="J33" s="152"/>
      <c r="K33" s="152"/>
      <c r="L33" s="173"/>
      <c r="M33" s="176"/>
      <c r="N33" s="161"/>
      <c r="O33" s="163"/>
      <c r="P33" s="153"/>
      <c r="Q33" s="154"/>
      <c r="R33" s="159"/>
      <c r="S33" s="96"/>
      <c r="T33" s="96"/>
      <c r="U33" s="98"/>
      <c r="V33" s="101"/>
      <c r="W33" s="101"/>
      <c r="X33" s="37"/>
      <c r="Y33" s="35"/>
      <c r="Z33" s="35"/>
      <c r="AA33" s="35"/>
    </row>
    <row r="34" spans="1:27" ht="15.75" customHeight="1" x14ac:dyDescent="0.25">
      <c r="A34" s="155" t="s">
        <v>104</v>
      </c>
      <c r="B34" s="247">
        <v>3.5</v>
      </c>
      <c r="C34" s="40"/>
      <c r="D34" s="157" t="s">
        <v>16</v>
      </c>
      <c r="E34" s="131">
        <f>IF(VLOOKUP($B$7,Všechny_obce_koeficienty!$D$2:$U$1045,9,FALSE)="","1,0",VLOOKUP($B$7,Všechny_obce_koeficienty!$D$2:$U$1045,9,FALSE))</f>
        <v>1.5</v>
      </c>
      <c r="F34" s="151" t="str">
        <f>IF(VLOOKUP($B$7,Všechny_obce_koeficienty!$D$2:$U$1045,18,FALSE)="","1,0",VLOOKUP($B$7,Všechny_obce_koeficienty!$D$2:$U$1045,18,FALSE))</f>
        <v>2</v>
      </c>
      <c r="G34" s="126">
        <f>VLOOKUP($B$7,Obce_vynos!B3:AB1045,13,FALSE)</f>
        <v>12864</v>
      </c>
      <c r="H34" s="40"/>
      <c r="I34" s="149" t="s">
        <v>16</v>
      </c>
      <c r="J34" s="151" t="str">
        <f t="shared" si="1"/>
        <v>2</v>
      </c>
      <c r="K34" s="151" t="str">
        <f t="shared" si="2"/>
        <v/>
      </c>
      <c r="L34" s="172">
        <v>3</v>
      </c>
      <c r="M34" s="176"/>
      <c r="N34" s="160">
        <f>IF(R34=0,G34/F34/E34,G34/F34/E34*R34)*$L$13+IF(R34=0,G35/F34/E35,G35/F34/E35*R34)*$L$13</f>
        <v>12864</v>
      </c>
      <c r="O34" s="162">
        <f>N34-G34-G35</f>
        <v>0</v>
      </c>
      <c r="P34" s="153" t="str">
        <f>IF(HELP!AF49="ANO","","!!!")</f>
        <v/>
      </c>
      <c r="Q34" s="154" t="str">
        <f>IF(HELP!AF49="ANO","","POZOR! Koeficient pro skupinu NV musí být na všech KÚ shodný!")</f>
        <v/>
      </c>
      <c r="R34" s="164">
        <f t="shared" si="3"/>
        <v>3</v>
      </c>
      <c r="S34" s="96"/>
      <c r="T34" s="96"/>
      <c r="U34" s="96"/>
      <c r="V34" s="37"/>
      <c r="W34" s="37"/>
      <c r="X34" s="37"/>
    </row>
    <row r="35" spans="1:27" ht="15.75" customHeight="1" x14ac:dyDescent="0.25">
      <c r="A35" s="156"/>
      <c r="B35" s="248"/>
      <c r="C35" s="40"/>
      <c r="D35" s="158"/>
      <c r="E35" s="131" t="str">
        <f>IF(VLOOKUP($B$7,Všechny_obce_koeficienty!$D$2:$U$1045,13,FALSE)="","1,0",VLOOKUP($B$7,Všechny_obce_koeficienty!$D$2:$U$1045,13,FALSE))</f>
        <v>1,0</v>
      </c>
      <c r="F35" s="152"/>
      <c r="G35" s="126">
        <f>VLOOKUP($B$7,Obce_vynos!B3:AB1045,19,FALSE)</f>
        <v>0</v>
      </c>
      <c r="H35" s="40"/>
      <c r="I35" s="150"/>
      <c r="J35" s="152"/>
      <c r="K35" s="152"/>
      <c r="L35" s="173"/>
      <c r="M35" s="176"/>
      <c r="N35" s="161"/>
      <c r="O35" s="163"/>
      <c r="P35" s="153"/>
      <c r="Q35" s="154"/>
      <c r="R35" s="164"/>
      <c r="S35" s="96"/>
      <c r="T35" s="96"/>
      <c r="U35" s="96"/>
      <c r="V35" s="37"/>
      <c r="W35" s="37"/>
      <c r="X35" s="37"/>
    </row>
    <row r="36" spans="1:27" ht="15.75" customHeight="1" x14ac:dyDescent="0.25">
      <c r="A36" s="155" t="s">
        <v>105</v>
      </c>
      <c r="B36" s="247">
        <v>18</v>
      </c>
      <c r="C36" s="40"/>
      <c r="D36" s="157" t="s">
        <v>16</v>
      </c>
      <c r="E36" s="131">
        <f>IF(VLOOKUP($B$7,Všechny_obce_koeficienty!$D$2:$U$1045,10,FALSE)="","1,0",VLOOKUP($B$7,Všechny_obce_koeficienty!$D$2:$U$1045,10,FALSE))</f>
        <v>1.5</v>
      </c>
      <c r="F36" s="151" t="str">
        <f>IF(VLOOKUP($B$7,Všechny_obce_koeficienty!$D$2:$U$1045,18,FALSE)="","1,0",VLOOKUP($B$7,Všechny_obce_koeficienty!$D$2:$U$1045,18,FALSE))</f>
        <v>2</v>
      </c>
      <c r="G36" s="126">
        <f>VLOOKUP($B$7,Obce_vynos!B3:AB1045,14,FALSE)</f>
        <v>8788</v>
      </c>
      <c r="H36" s="40"/>
      <c r="I36" s="149" t="s">
        <v>16</v>
      </c>
      <c r="J36" s="151" t="str">
        <f t="shared" si="1"/>
        <v>2</v>
      </c>
      <c r="K36" s="151" t="str">
        <f t="shared" si="2"/>
        <v/>
      </c>
      <c r="L36" s="172">
        <v>3</v>
      </c>
      <c r="M36" s="176"/>
      <c r="N36" s="160">
        <f>IF(R36=0,G36/F36/E36,G36/F36/E36*R36)*$L$13+IF(R36=0,G37/F36/E37,G37/F36/E37*R36)*$L$13</f>
        <v>8788</v>
      </c>
      <c r="O36" s="162">
        <f>N36-G36-G37</f>
        <v>0</v>
      </c>
      <c r="P36" s="153" t="str">
        <f>IF(HELP!AF52="ANO","","!!!")</f>
        <v/>
      </c>
      <c r="Q36" s="154" t="str">
        <f>IF(HELP!AF52="ANO","","POZOR! Koeficient pro skupinu NV musí být na všech KÚ shodný!")</f>
        <v/>
      </c>
      <c r="R36" s="164">
        <f t="shared" si="3"/>
        <v>3</v>
      </c>
      <c r="S36" s="96"/>
      <c r="T36" s="96"/>
      <c r="U36" s="96"/>
      <c r="V36" s="37"/>
      <c r="W36" s="37"/>
      <c r="X36" s="37"/>
    </row>
    <row r="37" spans="1:27" ht="15.75" customHeight="1" x14ac:dyDescent="0.25">
      <c r="A37" s="156"/>
      <c r="B37" s="248"/>
      <c r="C37" s="40"/>
      <c r="D37" s="158"/>
      <c r="E37" s="131" t="str">
        <f>IF(VLOOKUP($B$7,Všechny_obce_koeficienty!$D$2:$U$1045,14,FALSE)="","1,0",VLOOKUP($B$7,Všechny_obce_koeficienty!$D$2:$U$1045,14,FALSE))</f>
        <v>1,0</v>
      </c>
      <c r="F37" s="152"/>
      <c r="G37" s="126">
        <f>VLOOKUP($B$7,Obce_vynos!B3:AB1045,20,FALSE)</f>
        <v>0</v>
      </c>
      <c r="H37" s="40"/>
      <c r="I37" s="150"/>
      <c r="J37" s="152"/>
      <c r="K37" s="152"/>
      <c r="L37" s="173"/>
      <c r="M37" s="176"/>
      <c r="N37" s="161"/>
      <c r="O37" s="163"/>
      <c r="P37" s="153"/>
      <c r="Q37" s="154"/>
      <c r="R37" s="164"/>
      <c r="S37" s="96"/>
      <c r="T37" s="96"/>
      <c r="U37" s="96"/>
      <c r="V37" s="37"/>
      <c r="W37" s="37"/>
      <c r="X37" s="37"/>
    </row>
    <row r="38" spans="1:27" ht="15.75" customHeight="1" x14ac:dyDescent="0.25">
      <c r="A38" s="155" t="s">
        <v>106</v>
      </c>
      <c r="B38" s="247">
        <v>18</v>
      </c>
      <c r="C38" s="40"/>
      <c r="D38" s="157" t="s">
        <v>16</v>
      </c>
      <c r="E38" s="131">
        <f>IF(VLOOKUP($B$7,Všechny_obce_koeficienty!$D$2:$U$1045,11,FALSE)="","1,0",VLOOKUP($B$7,Všechny_obce_koeficienty!$D$2:$U$1045,11,FALSE))</f>
        <v>1.5</v>
      </c>
      <c r="F38" s="151" t="str">
        <f>IF(VLOOKUP($B$7,Všechny_obce_koeficienty!$D$2:$U$1045,18,FALSE)="","1,0",VLOOKUP($B$7,Všechny_obce_koeficienty!$D$2:$U$1045,18,FALSE))</f>
        <v>2</v>
      </c>
      <c r="G38" s="126">
        <f>VLOOKUP($B$7,Obce_vynos!B3:AB1045,15,FALSE)</f>
        <v>27006</v>
      </c>
      <c r="H38" s="40"/>
      <c r="I38" s="149" t="s">
        <v>16</v>
      </c>
      <c r="J38" s="151" t="str">
        <f t="shared" si="1"/>
        <v>2</v>
      </c>
      <c r="K38" s="151" t="str">
        <f t="shared" si="2"/>
        <v/>
      </c>
      <c r="L38" s="172">
        <v>3</v>
      </c>
      <c r="M38" s="176"/>
      <c r="N38" s="160">
        <f>IF(R38=0,G38/F38/E38,G38/F38/E38*R38)*$L$13+IF(R38=0,G39/F38/E39,G39/F38/E39*R38)*$L$13</f>
        <v>27006</v>
      </c>
      <c r="O38" s="162">
        <f>N38-G38-G39</f>
        <v>0</v>
      </c>
      <c r="P38" s="153" t="str">
        <f>IF(HELP!AF55="ANO","","!!!")</f>
        <v/>
      </c>
      <c r="Q38" s="154" t="str">
        <f>IF(HELP!AF55="ANO","","POZOR! Koeficient pro skupinu NV musí být na všech KÚ shodný!")</f>
        <v/>
      </c>
      <c r="R38" s="165">
        <f>IF(IF(L38&gt;=$K$7,L38,IF(L38="",$K$7,IF($K$7="",$J$7,$K$7)))=0,$J$7,IF(L38&gt;=$K$7,L38,IF(L38="",$K$7,IF($K$7="",$J$7,$K$7))))</f>
        <v>3</v>
      </c>
      <c r="S38" s="96"/>
      <c r="T38" s="96"/>
      <c r="U38" s="96"/>
      <c r="V38" s="37"/>
      <c r="W38" s="37"/>
      <c r="X38" s="37"/>
    </row>
    <row r="39" spans="1:27" ht="15.75" x14ac:dyDescent="0.25">
      <c r="A39" s="156"/>
      <c r="B39" s="248"/>
      <c r="C39" s="40"/>
      <c r="D39" s="158"/>
      <c r="E39" s="132" t="str">
        <f>IF(VLOOKUP($B$7,Všechny_obce_koeficienty!$D$2:$U$1045,15,FALSE)="","1,0",VLOOKUP($B$7,Všechny_obce_koeficienty!$D$2:$U$1045,15,FALSE))</f>
        <v>1,0</v>
      </c>
      <c r="F39" s="152"/>
      <c r="G39" s="116">
        <f>VLOOKUP($B$7,Obce_vynos!B3:AB1045,21,FALSE)</f>
        <v>0</v>
      </c>
      <c r="H39" s="40"/>
      <c r="I39" s="150"/>
      <c r="J39" s="152"/>
      <c r="K39" s="152"/>
      <c r="L39" s="173"/>
      <c r="M39" s="176"/>
      <c r="N39" s="161"/>
      <c r="O39" s="163"/>
      <c r="P39" s="153"/>
      <c r="Q39" s="154"/>
      <c r="R39" s="165"/>
      <c r="S39" s="96"/>
      <c r="T39" s="96"/>
      <c r="U39" s="96"/>
      <c r="V39" s="37"/>
      <c r="W39" s="37"/>
      <c r="X39" s="37"/>
    </row>
    <row r="40" spans="1:27" ht="15" customHeight="1" thickBot="1" x14ac:dyDescent="0.3">
      <c r="A40" s="6" t="s">
        <v>11</v>
      </c>
      <c r="B40" s="49">
        <v>11</v>
      </c>
      <c r="C40" s="40"/>
      <c r="D40" s="50" t="s">
        <v>16</v>
      </c>
      <c r="E40" s="68" t="s">
        <v>16</v>
      </c>
      <c r="F40" s="52" t="str">
        <f>IF(VLOOKUP($B$7,Všechny_obce_koeficienty!$D$2:$U$1045,18,FALSE)="","1,0",VLOOKUP($B$7,Všechny_obce_koeficienty!$D$2:$U$1045,18,FALSE))</f>
        <v>2</v>
      </c>
      <c r="G40" s="127">
        <f>VLOOKUP($B$7,Obce_vynos!B3:AB1045,16,FALSE)</f>
        <v>5716</v>
      </c>
      <c r="H40" s="40"/>
      <c r="I40" s="69" t="s">
        <v>16</v>
      </c>
      <c r="J40" s="52" t="str">
        <f t="shared" si="1"/>
        <v>2</v>
      </c>
      <c r="K40" s="52" t="str">
        <f t="shared" si="2"/>
        <v/>
      </c>
      <c r="L40" s="124"/>
      <c r="M40" s="176"/>
      <c r="N40" s="109">
        <f>IF(R40=0,G40/F40,G40/F40*R40)*$L$13</f>
        <v>5716</v>
      </c>
      <c r="O40" s="110">
        <f>N40-G40</f>
        <v>0</v>
      </c>
      <c r="P40" s="95" t="str">
        <f>IF(HELP!AF58="ANO","","!!!")</f>
        <v/>
      </c>
      <c r="Q40" s="94" t="str">
        <f>IF(HELP!AF58="ANO","","POZOR! Koeficient pro skupinu NV musí být na všech KÚ shodný!")</f>
        <v/>
      </c>
      <c r="R40" s="135" t="str">
        <f t="shared" si="3"/>
        <v>2</v>
      </c>
      <c r="S40" s="96"/>
      <c r="T40" s="96"/>
      <c r="U40" s="96"/>
      <c r="V40" s="37"/>
      <c r="W40" s="37"/>
      <c r="X40" s="37"/>
    </row>
    <row r="41" spans="1:27" ht="15.75" thickBot="1" x14ac:dyDescent="0.3">
      <c r="A41" s="3"/>
      <c r="G41" s="8"/>
      <c r="I41" s="235"/>
      <c r="J41" s="235"/>
      <c r="K41" s="235"/>
      <c r="L41" s="235"/>
      <c r="M41" s="235"/>
      <c r="N41" s="235"/>
      <c r="O41" s="235"/>
      <c r="R41" s="37"/>
      <c r="S41" s="37"/>
      <c r="T41" s="37"/>
      <c r="U41" s="37"/>
      <c r="V41" s="37"/>
      <c r="W41" s="37"/>
      <c r="X41" s="37"/>
    </row>
    <row r="42" spans="1:27" ht="20.25" thickBot="1" x14ac:dyDescent="0.35">
      <c r="A42" s="243" t="s">
        <v>12</v>
      </c>
      <c r="B42" s="244"/>
      <c r="C42" s="75"/>
      <c r="D42" s="75"/>
      <c r="E42" s="75"/>
      <c r="F42" s="75"/>
      <c r="G42" s="76">
        <f>SUM(G17:G26)+SUM(G28:G40)</f>
        <v>530713</v>
      </c>
      <c r="H42" s="75"/>
      <c r="I42" s="75"/>
      <c r="J42" s="75"/>
      <c r="K42" s="75"/>
      <c r="L42" s="75"/>
      <c r="M42" s="75"/>
      <c r="N42" s="113">
        <f>N17+N18+N19+N20+N21+N22+N23+N24+N25+N26+N28+N29+N30+N32+N34+N36+N38+N40</f>
        <v>707862.33333333337</v>
      </c>
      <c r="O42" s="114">
        <f>N42-G42</f>
        <v>177149.33333333337</v>
      </c>
      <c r="R42" s="37"/>
      <c r="S42" s="37"/>
      <c r="T42" s="37"/>
      <c r="U42" s="37"/>
      <c r="V42" s="37"/>
      <c r="W42" s="37"/>
      <c r="X42" s="37"/>
    </row>
    <row r="43" spans="1:27" x14ac:dyDescent="0.25">
      <c r="R43" s="37"/>
      <c r="S43" s="37"/>
      <c r="T43" s="37"/>
      <c r="U43" s="37"/>
      <c r="V43" s="37"/>
      <c r="W43" s="37"/>
      <c r="X43" s="37"/>
    </row>
    <row r="44" spans="1:27" x14ac:dyDescent="0.25">
      <c r="R44" s="37"/>
      <c r="S44" s="37"/>
      <c r="T44" s="37"/>
      <c r="U44" s="37"/>
      <c r="V44" s="37"/>
      <c r="W44" s="37"/>
      <c r="X44" s="37"/>
    </row>
    <row r="45" spans="1:27" ht="18.75" x14ac:dyDescent="0.25">
      <c r="A45" s="233" t="s">
        <v>13</v>
      </c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R45" s="37"/>
      <c r="S45" s="37"/>
      <c r="T45" s="37"/>
      <c r="U45" s="37"/>
      <c r="V45" s="37"/>
      <c r="W45" s="37"/>
      <c r="X45" s="37"/>
    </row>
    <row r="46" spans="1:27" ht="5.0999999999999996" customHeight="1" thickBot="1" x14ac:dyDescent="0.3">
      <c r="R46" s="37"/>
      <c r="S46" s="37"/>
      <c r="T46" s="37"/>
      <c r="U46" s="37"/>
      <c r="V46" s="37"/>
      <c r="W46" s="37"/>
      <c r="X46" s="37"/>
    </row>
    <row r="47" spans="1:27" ht="56.25" customHeight="1" x14ac:dyDescent="0.25">
      <c r="A47" s="264" t="s">
        <v>15</v>
      </c>
      <c r="B47" s="265"/>
      <c r="C47" s="40"/>
      <c r="D47" s="268" t="s">
        <v>21</v>
      </c>
      <c r="E47" s="269"/>
      <c r="F47" s="269"/>
      <c r="G47" s="270"/>
      <c r="H47" s="77"/>
      <c r="I47" s="177" t="s">
        <v>83</v>
      </c>
      <c r="J47" s="178"/>
      <c r="K47" s="178" t="s">
        <v>20</v>
      </c>
      <c r="L47" s="206"/>
      <c r="M47" s="78"/>
      <c r="N47" s="86" t="s">
        <v>86</v>
      </c>
      <c r="O47" s="258" t="s">
        <v>20</v>
      </c>
      <c r="P47" s="2"/>
      <c r="R47" s="37"/>
      <c r="S47" s="37"/>
      <c r="T47" s="37"/>
      <c r="U47" s="37"/>
      <c r="V47" s="37"/>
    </row>
    <row r="48" spans="1:27" ht="35.25" customHeight="1" thickBot="1" x14ac:dyDescent="0.3">
      <c r="A48" s="266"/>
      <c r="B48" s="267"/>
      <c r="C48" s="40"/>
      <c r="D48" s="261" t="str">
        <f>Koef!B3</f>
        <v>Zdaňovací období roku 2024</v>
      </c>
      <c r="E48" s="262"/>
      <c r="F48" s="262"/>
      <c r="G48" s="263"/>
      <c r="H48" s="77"/>
      <c r="I48" s="179" t="s">
        <v>72</v>
      </c>
      <c r="J48" s="180"/>
      <c r="K48" s="180"/>
      <c r="L48" s="223"/>
      <c r="M48" s="79"/>
      <c r="N48" s="80" t="s">
        <v>72</v>
      </c>
      <c r="O48" s="259"/>
      <c r="P48" s="2"/>
      <c r="R48" s="96"/>
      <c r="S48" s="96"/>
      <c r="T48" s="96"/>
      <c r="U48" s="96"/>
    </row>
    <row r="49" spans="1:21" ht="18" thickTop="1" x14ac:dyDescent="0.25">
      <c r="A49" s="186" t="s">
        <v>88</v>
      </c>
      <c r="B49" s="187"/>
      <c r="C49" s="40"/>
      <c r="D49" s="249">
        <f>150*B28*D28*F28</f>
        <v>1470</v>
      </c>
      <c r="E49" s="250"/>
      <c r="F49" s="250"/>
      <c r="G49" s="251"/>
      <c r="H49" s="40"/>
      <c r="I49" s="260">
        <f>150*B28*T28*F28</f>
        <v>1470</v>
      </c>
      <c r="J49" s="256"/>
      <c r="K49" s="256">
        <f>I49-D49</f>
        <v>0</v>
      </c>
      <c r="L49" s="257"/>
      <c r="M49" s="81"/>
      <c r="N49" s="93">
        <f>IF(R28=0,150*B28*I28*F28,150*B28*I28*R28)</f>
        <v>1470</v>
      </c>
      <c r="O49" s="82">
        <f t="shared" ref="O49:O57" si="4">N49-D49</f>
        <v>0</v>
      </c>
      <c r="R49" s="96"/>
      <c r="S49" s="96"/>
      <c r="T49" s="96"/>
      <c r="U49" s="96"/>
    </row>
    <row r="50" spans="1:21" ht="17.25" x14ac:dyDescent="0.25">
      <c r="A50" s="181" t="s">
        <v>89</v>
      </c>
      <c r="B50" s="182"/>
      <c r="C50" s="40"/>
      <c r="D50" s="183">
        <f>60*1.22*B29*D29*F29</f>
        <v>512.4</v>
      </c>
      <c r="E50" s="184"/>
      <c r="F50" s="184"/>
      <c r="G50" s="185"/>
      <c r="H50" s="40"/>
      <c r="I50" s="224">
        <f>60*1.22*B29*T29*F29</f>
        <v>717.3599999999999</v>
      </c>
      <c r="J50" s="225"/>
      <c r="K50" s="225">
        <f t="shared" ref="K50:K57" si="5">I50-D50</f>
        <v>204.95999999999992</v>
      </c>
      <c r="L50" s="254"/>
      <c r="M50" s="83"/>
      <c r="N50" s="91">
        <f>IF(R29=0,60*1.22*B29*I29*F29,60*1.22*B29*I29*R29)</f>
        <v>717.3599999999999</v>
      </c>
      <c r="O50" s="84">
        <f t="shared" si="4"/>
        <v>204.95999999999992</v>
      </c>
      <c r="S50" s="37"/>
      <c r="T50" s="37"/>
      <c r="U50" s="37"/>
    </row>
    <row r="51" spans="1:21" ht="17.25" x14ac:dyDescent="0.25">
      <c r="A51" s="181" t="s">
        <v>90</v>
      </c>
      <c r="B51" s="182"/>
      <c r="C51" s="40"/>
      <c r="D51" s="183">
        <f>1000*B17</f>
        <v>23.895</v>
      </c>
      <c r="E51" s="184"/>
      <c r="F51" s="184"/>
      <c r="G51" s="185">
        <f>1000*B17</f>
        <v>23.895</v>
      </c>
      <c r="H51" s="40"/>
      <c r="I51" s="224">
        <f>1000*B17</f>
        <v>23.895</v>
      </c>
      <c r="J51" s="225"/>
      <c r="K51" s="225">
        <f t="shared" si="5"/>
        <v>0</v>
      </c>
      <c r="L51" s="254"/>
      <c r="M51" s="83"/>
      <c r="N51" s="91">
        <f>IF(L17="",1000*B17*J17,1000*B17*L17)</f>
        <v>23.895</v>
      </c>
      <c r="O51" s="84">
        <f t="shared" si="4"/>
        <v>0</v>
      </c>
      <c r="S51" s="37"/>
      <c r="T51" s="37"/>
      <c r="U51" s="37"/>
    </row>
    <row r="52" spans="1:21" ht="15.75" x14ac:dyDescent="0.25">
      <c r="A52" s="228" t="s">
        <v>73</v>
      </c>
      <c r="B52" s="229"/>
      <c r="C52" s="40"/>
      <c r="D52" s="183">
        <f>10000*B17</f>
        <v>238.95</v>
      </c>
      <c r="E52" s="184"/>
      <c r="F52" s="184"/>
      <c r="G52" s="185">
        <f>1000*B18</f>
        <v>7.9649999999999999</v>
      </c>
      <c r="H52" s="40"/>
      <c r="I52" s="224">
        <f>10000*B17</f>
        <v>238.95</v>
      </c>
      <c r="J52" s="225"/>
      <c r="K52" s="225">
        <f t="shared" si="5"/>
        <v>0</v>
      </c>
      <c r="L52" s="254"/>
      <c r="M52" s="83"/>
      <c r="N52" s="91">
        <f>IF(L17="",10000*B17*J17,10000*B17*L17)</f>
        <v>238.95</v>
      </c>
      <c r="O52" s="84">
        <f t="shared" si="4"/>
        <v>0</v>
      </c>
      <c r="S52" s="37"/>
      <c r="T52" s="37"/>
      <c r="U52" s="37"/>
    </row>
    <row r="53" spans="1:21" ht="17.25" x14ac:dyDescent="0.25">
      <c r="A53" s="181" t="s">
        <v>91</v>
      </c>
      <c r="B53" s="182"/>
      <c r="C53" s="40"/>
      <c r="D53" s="183">
        <f>20*B32*E32*F32</f>
        <v>870</v>
      </c>
      <c r="E53" s="184"/>
      <c r="F53" s="184"/>
      <c r="G53" s="185" t="e">
        <f>20*B32*D32*#REF!</f>
        <v>#VALUE!</v>
      </c>
      <c r="H53" s="40"/>
      <c r="I53" s="224">
        <f>20*B32*F32</f>
        <v>580</v>
      </c>
      <c r="J53" s="225"/>
      <c r="K53" s="225">
        <f t="shared" si="5"/>
        <v>-290</v>
      </c>
      <c r="L53" s="254"/>
      <c r="M53" s="83"/>
      <c r="N53" s="91">
        <f>IF(R32=0,20*B32*F32,20*B32*R32)</f>
        <v>870</v>
      </c>
      <c r="O53" s="84">
        <f t="shared" si="4"/>
        <v>0</v>
      </c>
      <c r="S53" s="37"/>
      <c r="T53" s="37"/>
      <c r="U53" s="37"/>
    </row>
    <row r="54" spans="1:21" ht="17.25" x14ac:dyDescent="0.25">
      <c r="A54" s="181" t="s">
        <v>92</v>
      </c>
      <c r="B54" s="182"/>
      <c r="C54" s="40"/>
      <c r="D54" s="183">
        <f>50*B30*E30*F30</f>
        <v>1650</v>
      </c>
      <c r="E54" s="184"/>
      <c r="F54" s="184"/>
      <c r="G54" s="185" t="e">
        <f>20*B34*D34*#REF!</f>
        <v>#VALUE!</v>
      </c>
      <c r="H54" s="40"/>
      <c r="I54" s="224">
        <f>50*B30*F30</f>
        <v>1100</v>
      </c>
      <c r="J54" s="225"/>
      <c r="K54" s="225">
        <f t="shared" si="5"/>
        <v>-550</v>
      </c>
      <c r="L54" s="254"/>
      <c r="M54" s="83"/>
      <c r="N54" s="91">
        <f>IF(R30=0,50*B30*F30,50*B30*R30)</f>
        <v>2750</v>
      </c>
      <c r="O54" s="84">
        <f t="shared" si="4"/>
        <v>1100</v>
      </c>
      <c r="S54" s="37"/>
      <c r="T54" s="37"/>
      <c r="U54" s="37"/>
    </row>
    <row r="55" spans="1:21" ht="17.25" x14ac:dyDescent="0.25">
      <c r="A55" s="181" t="s">
        <v>93</v>
      </c>
      <c r="B55" s="182"/>
      <c r="C55" s="40"/>
      <c r="D55" s="183">
        <f>200*B34*E34*F34</f>
        <v>2100</v>
      </c>
      <c r="E55" s="184"/>
      <c r="F55" s="184"/>
      <c r="G55" s="185" t="e">
        <f>20*B36*D36*#REF!</f>
        <v>#VALUE!</v>
      </c>
      <c r="H55" s="40"/>
      <c r="I55" s="224">
        <f>200*B34*F34</f>
        <v>1400</v>
      </c>
      <c r="J55" s="225"/>
      <c r="K55" s="225">
        <f t="shared" si="5"/>
        <v>-700</v>
      </c>
      <c r="L55" s="254"/>
      <c r="M55" s="83"/>
      <c r="N55" s="91">
        <f>IF(R34=0,200*B34*F34,200*B34*R34)</f>
        <v>2100</v>
      </c>
      <c r="O55" s="84">
        <f t="shared" si="4"/>
        <v>0</v>
      </c>
      <c r="S55" s="37"/>
      <c r="T55" s="37"/>
      <c r="U55" s="37"/>
    </row>
    <row r="56" spans="1:21" ht="17.25" x14ac:dyDescent="0.25">
      <c r="A56" s="181" t="s">
        <v>94</v>
      </c>
      <c r="B56" s="182"/>
      <c r="C56" s="40"/>
      <c r="D56" s="183">
        <f>200*B36*E36*F36</f>
        <v>10800</v>
      </c>
      <c r="E56" s="184"/>
      <c r="F56" s="184"/>
      <c r="G56" s="185" t="e">
        <f>20*B38*D38*#REF!</f>
        <v>#VALUE!</v>
      </c>
      <c r="H56" s="40"/>
      <c r="I56" s="224">
        <f>200*B36*F36</f>
        <v>7200</v>
      </c>
      <c r="J56" s="225"/>
      <c r="K56" s="225">
        <f t="shared" si="5"/>
        <v>-3600</v>
      </c>
      <c r="L56" s="254"/>
      <c r="M56" s="83"/>
      <c r="N56" s="91">
        <f>IF(R36=0,200*B36*F36,200*B36*R36)</f>
        <v>10800</v>
      </c>
      <c r="O56" s="84">
        <f t="shared" si="4"/>
        <v>0</v>
      </c>
    </row>
    <row r="57" spans="1:21" ht="18" thickBot="1" x14ac:dyDescent="0.3">
      <c r="A57" s="226" t="s">
        <v>95</v>
      </c>
      <c r="B57" s="227"/>
      <c r="C57" s="40"/>
      <c r="D57" s="230">
        <f>200*B38*E38*F38</f>
        <v>10800</v>
      </c>
      <c r="E57" s="231"/>
      <c r="F57" s="231"/>
      <c r="G57" s="232" t="e">
        <f>20*B40*D40*#REF!</f>
        <v>#VALUE!</v>
      </c>
      <c r="H57" s="40"/>
      <c r="I57" s="252">
        <f>200*B38*F38</f>
        <v>7200</v>
      </c>
      <c r="J57" s="253"/>
      <c r="K57" s="253">
        <f t="shared" si="5"/>
        <v>-3600</v>
      </c>
      <c r="L57" s="255"/>
      <c r="M57" s="83"/>
      <c r="N57" s="92">
        <f>IF(R38=0,200*B38*F38,200*B38*R38)</f>
        <v>10800</v>
      </c>
      <c r="O57" s="85">
        <f t="shared" si="4"/>
        <v>0</v>
      </c>
    </row>
  </sheetData>
  <sheetProtection algorithmName="SHA-512" hashValue="gPpHrA1tmuiH6HoyM0bu3KRXXxC7tJqLESgDvcVmaFOJkBJOSAoSyYUL42+AIJOxfb7aNBZThTu1wheEJ1gkVw==" saltValue="USlTQAZD7ZNJ778TN9ZECQ==" spinCount="100000" sheet="1" objects="1" scenarios="1"/>
  <dataConsolidate/>
  <mergeCells count="136">
    <mergeCell ref="A1:P1"/>
    <mergeCell ref="A3:P3"/>
    <mergeCell ref="B5:G5"/>
    <mergeCell ref="B7:G7"/>
    <mergeCell ref="A9:P9"/>
    <mergeCell ref="A11:A16"/>
    <mergeCell ref="B11:B16"/>
    <mergeCell ref="D11:G14"/>
    <mergeCell ref="I11:O11"/>
    <mergeCell ref="I12:O12"/>
    <mergeCell ref="I13:K13"/>
    <mergeCell ref="M13:M16"/>
    <mergeCell ref="N13:N16"/>
    <mergeCell ref="O13:O16"/>
    <mergeCell ref="I14:L14"/>
    <mergeCell ref="D15:F15"/>
    <mergeCell ref="G15:G16"/>
    <mergeCell ref="I15:I16"/>
    <mergeCell ref="L15:L16"/>
    <mergeCell ref="J17:K17"/>
    <mergeCell ref="M17:M26"/>
    <mergeCell ref="J18:K18"/>
    <mergeCell ref="J19:K19"/>
    <mergeCell ref="M28:M40"/>
    <mergeCell ref="A30:A31"/>
    <mergeCell ref="D30:D31"/>
    <mergeCell ref="E30:E31"/>
    <mergeCell ref="F30:F31"/>
    <mergeCell ref="G30:G31"/>
    <mergeCell ref="A32:A33"/>
    <mergeCell ref="B32:B33"/>
    <mergeCell ref="D32:D33"/>
    <mergeCell ref="F32:F33"/>
    <mergeCell ref="I32:I33"/>
    <mergeCell ref="J32:J33"/>
    <mergeCell ref="K32:K33"/>
    <mergeCell ref="I30:I31"/>
    <mergeCell ref="J30:J31"/>
    <mergeCell ref="K30:K31"/>
    <mergeCell ref="L32:L33"/>
    <mergeCell ref="N32:N33"/>
    <mergeCell ref="O32:O33"/>
    <mergeCell ref="P32:P33"/>
    <mergeCell ref="Q32:Q33"/>
    <mergeCell ref="R32:R33"/>
    <mergeCell ref="P30:P31"/>
    <mergeCell ref="Q30:Q31"/>
    <mergeCell ref="R30:R31"/>
    <mergeCell ref="L30:L31"/>
    <mergeCell ref="N30:N31"/>
    <mergeCell ref="O30:O31"/>
    <mergeCell ref="R34:R35"/>
    <mergeCell ref="A36:A37"/>
    <mergeCell ref="B36:B37"/>
    <mergeCell ref="D36:D37"/>
    <mergeCell ref="F36:F37"/>
    <mergeCell ref="I36:I37"/>
    <mergeCell ref="J36:J37"/>
    <mergeCell ref="K36:K37"/>
    <mergeCell ref="L36:L37"/>
    <mergeCell ref="N36:N37"/>
    <mergeCell ref="K34:K35"/>
    <mergeCell ref="L34:L35"/>
    <mergeCell ref="N34:N35"/>
    <mergeCell ref="O34:O35"/>
    <mergeCell ref="P34:P35"/>
    <mergeCell ref="Q34:Q35"/>
    <mergeCell ref="A34:A35"/>
    <mergeCell ref="B34:B35"/>
    <mergeCell ref="D34:D35"/>
    <mergeCell ref="F34:F35"/>
    <mergeCell ref="I34:I35"/>
    <mergeCell ref="J34:J35"/>
    <mergeCell ref="O36:O37"/>
    <mergeCell ref="P36:P37"/>
    <mergeCell ref="Q36:Q37"/>
    <mergeCell ref="R36:R37"/>
    <mergeCell ref="A38:A39"/>
    <mergeCell ref="B38:B39"/>
    <mergeCell ref="D38:D39"/>
    <mergeCell ref="F38:F39"/>
    <mergeCell ref="I38:I39"/>
    <mergeCell ref="J38:J39"/>
    <mergeCell ref="R38:R39"/>
    <mergeCell ref="K38:K39"/>
    <mergeCell ref="L38:L39"/>
    <mergeCell ref="N38:N39"/>
    <mergeCell ref="O38:O39"/>
    <mergeCell ref="P38:P39"/>
    <mergeCell ref="Q38:Q39"/>
    <mergeCell ref="I41:O41"/>
    <mergeCell ref="A42:B42"/>
    <mergeCell ref="A45:P45"/>
    <mergeCell ref="A47:B48"/>
    <mergeCell ref="D47:G47"/>
    <mergeCell ref="I47:J47"/>
    <mergeCell ref="K47:L48"/>
    <mergeCell ref="O47:O48"/>
    <mergeCell ref="D48:G48"/>
    <mergeCell ref="I48:J48"/>
    <mergeCell ref="A49:B49"/>
    <mergeCell ref="D49:G49"/>
    <mergeCell ref="I49:J49"/>
    <mergeCell ref="K49:L49"/>
    <mergeCell ref="A50:B50"/>
    <mergeCell ref="D50:G50"/>
    <mergeCell ref="I50:J50"/>
    <mergeCell ref="K50:L50"/>
    <mergeCell ref="A53:B53"/>
    <mergeCell ref="D53:G53"/>
    <mergeCell ref="I53:J53"/>
    <mergeCell ref="K53:L53"/>
    <mergeCell ref="A54:B54"/>
    <mergeCell ref="D54:G54"/>
    <mergeCell ref="I54:J54"/>
    <mergeCell ref="K54:L54"/>
    <mergeCell ref="A51:B51"/>
    <mergeCell ref="D51:G51"/>
    <mergeCell ref="I51:J51"/>
    <mergeCell ref="K51:L51"/>
    <mergeCell ref="A52:B52"/>
    <mergeCell ref="D52:G52"/>
    <mergeCell ref="I52:J52"/>
    <mergeCell ref="K52:L52"/>
    <mergeCell ref="A57:B57"/>
    <mergeCell ref="D57:G57"/>
    <mergeCell ref="I57:J57"/>
    <mergeCell ref="K57:L57"/>
    <mergeCell ref="A55:B55"/>
    <mergeCell ref="D55:G55"/>
    <mergeCell ref="I55:J55"/>
    <mergeCell ref="K55:L55"/>
    <mergeCell ref="A56:B56"/>
    <mergeCell ref="D56:G56"/>
    <mergeCell ref="I56:J56"/>
    <mergeCell ref="K56:L56"/>
  </mergeCells>
  <conditionalFormatting sqref="J20:J26">
    <cfRule type="expression" dxfId="15" priority="6">
      <formula>IF(L20="",IF(K20="",J20,"NIC"))</formula>
    </cfRule>
  </conditionalFormatting>
  <conditionalFormatting sqref="L20:L26">
    <cfRule type="expression" dxfId="14" priority="7">
      <formula>IF(L20&gt;$K$7,L20,"NIC")</formula>
    </cfRule>
  </conditionalFormatting>
  <conditionalFormatting sqref="L28:L32 L34 L36 L38 L40">
    <cfRule type="expression" dxfId="13" priority="8">
      <formula>IF(L28&gt;$K$7,L28,"NIC")</formula>
    </cfRule>
  </conditionalFormatting>
  <conditionalFormatting sqref="K20:K26">
    <cfRule type="expression" dxfId="12" priority="5">
      <formula>IF(K20&gt;=L20,K20,"NIC")</formula>
    </cfRule>
  </conditionalFormatting>
  <conditionalFormatting sqref="J28:J30">
    <cfRule type="expression" dxfId="11" priority="4">
      <formula>IF(L28="",IF(K28="",J28,"NIC"))</formula>
    </cfRule>
  </conditionalFormatting>
  <conditionalFormatting sqref="K28:K32 K34 K36 K38 K40">
    <cfRule type="expression" dxfId="10" priority="3">
      <formula>IF(K28&gt;=L28,K28,"NIC")</formula>
    </cfRule>
  </conditionalFormatting>
  <conditionalFormatting sqref="J32 J34 J36 J38 J40">
    <cfRule type="expression" dxfId="9" priority="2">
      <formula>IF(L32="",IF(K32="",J32,"NIC"))</formula>
    </cfRule>
  </conditionalFormatting>
  <conditionalFormatting sqref="L17:L19">
    <cfRule type="cellIs" dxfId="8" priority="1" operator="greaterThan">
      <formula>0</formula>
    </cfRule>
  </conditionalFormatting>
  <pageMargins left="0.7" right="0.7" top="0.78740157499999996" bottom="0.78740157499999996" header="0.3" footer="0.3"/>
  <pageSetup paperSize="8" scale="80" orientation="landscape" horizontalDpi="4294967293" r:id="rId1"/>
  <ignoredErrors>
    <ignoredError sqref="N2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Button 1">
              <controlPr defaultSize="0" print="0" autoFill="0" autoPict="0" macro="[0]!makro_2024_obec">
                <anchor moveWithCells="1" sizeWithCells="1">
                  <from>
                    <xdr:col>15</xdr:col>
                    <xdr:colOff>47625</xdr:colOff>
                    <xdr:row>13</xdr:row>
                    <xdr:rowOff>9525</xdr:rowOff>
                  </from>
                  <to>
                    <xdr:col>16</xdr:col>
                    <xdr:colOff>2133600</xdr:colOff>
                    <xdr:row>14</xdr:row>
                    <xdr:rowOff>685800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A9DF378D-71D2-4ED8-8196-D3E247130BA5}">
          <x14:formula1>
            <xm:f>IF(O5&lt;=1000,Koef!$I$11:$J$11,IF(O5&lt;=6000,Koef!$J$12:$K$12,IF(O5&lt;=10000,Koef!$K$13:$L$13,IF(O5&lt;=25000,Koef!$L$14:$M$14,IF(O5&lt;=50000,Koef!$L$15:$M$15,Koef!$L$16:$M$16)))))</xm:f>
          </x14:formula1>
          <xm:sqref>I29</xm:sqref>
        </x14:dataValidation>
        <x14:dataValidation type="list" allowBlank="1" showInputMessage="1" showErrorMessage="1" xr:uid="{3753B91C-709D-42CE-84A1-6C3884054347}">
          <x14:formula1>
            <xm:f>IF(O5&lt;=1000,Koef!$I$11:$J$11,IF(O5&lt;=6000,Koef!$J$12:$K$12,IF(O5&lt;=10000,Koef!$K$13:$L$13,IF(O5&lt;=25000,Koef!$L$14:$M$14,IF(O5&lt;=50000,Koef!$L$15:$M$15,Koef!$L$16:$M$16)))))</xm:f>
          </x14:formula1>
          <xm:sqref>I28</xm:sqref>
        </x14:dataValidation>
        <x14:dataValidation type="list" allowBlank="1" showInputMessage="1" showErrorMessage="1" xr:uid="{AF6BE4F8-A991-48AD-A19C-74B79FFADBBF}">
          <x14:formula1>
            <xm:f>Koef!$S$12:$S$58</xm:f>
          </x14:formula1>
          <xm:sqref>J16:K16</xm:sqref>
        </x14:dataValidation>
        <x14:dataValidation type="list" allowBlank="1" showInputMessage="1" showErrorMessage="1" xr:uid="{EBD135A7-BA74-4AF7-8A6B-ECA03AA63796}">
          <x14:formula1>
            <xm:f>Koef!$R$12:$R$23</xm:f>
          </x14:formula1>
          <xm:sqref>L17:L19</xm:sqref>
        </x14:dataValidation>
        <x14:dataValidation type="list" allowBlank="1" showInputMessage="1" showErrorMessage="1" xr:uid="{8067BEF8-D75A-413B-A072-5F7EA5366E6D}">
          <x14:formula1>
            <xm:f>Koef!$Q$12:$Q$58</xm:f>
          </x14:formula1>
          <xm:sqref>L28:L30 L20:L26 L32 L34 L36 L38 L40</xm:sqref>
        </x14:dataValidation>
        <x14:dataValidation type="list" allowBlank="1" showInputMessage="1" showErrorMessage="1" xr:uid="{EA2BF40D-C043-4CBC-B391-07F0D62744AF}">
          <x14:formula1>
            <xm:f>IF(O5&lt;=1000,Koef!$I$11:$J$11,IF(O5&lt;=6000,Koef!$J$12:$K$12,IF(O5&lt;=10000,Koef!$K$13:$L$13,IF(O5&lt;=25000,Koef!$L$14:$M$14,IF(O5&lt;=50000,Koef!$L$15:$M$15,Koef!$L$16:$M$16)))))</xm:f>
          </x14:formula1>
          <xm:sqref>I22</xm:sqref>
        </x14:dataValidation>
        <x14:dataValidation type="list" allowBlank="1" showInputMessage="1" showErrorMessage="1" xr:uid="{28F3EFB2-C9A4-44E2-BCF7-5A7B718B1EE5}">
          <x14:formula1>
            <xm:f>IF(VLOOKUP(#REF!,Obce_vynos!#REF!,3,FALSE)&lt;=1000,Koef!$I$11:$J$11,Koef!$I$12:$K$12)</xm:f>
          </x14:formula1>
          <xm:sqref>G80</xm:sqref>
        </x14:dataValidation>
        <x14:dataValidation type="list" allowBlank="1" showInputMessage="1" showErrorMessage="1" xr:uid="{A072F3F1-72AF-4372-8BFD-AE6CA9C3E504}">
          <x14:formula1>
            <xm:f>Obce_s_KU!$A$2:$A$1150</xm:f>
          </x14:formula1>
          <xm:sqref>B5:G5</xm:sqref>
        </x14:dataValidation>
        <x14:dataValidation type="list" allowBlank="1" showInputMessage="1" showErrorMessage="1" xr:uid="{C73C78E6-BF01-4432-92E4-CB8D2BEA51A7}">
          <x14:formula1>
            <xm:f>INDIRECT(VLOOKUP(B5,Obce_s_KU!A2:B1150,2,FALSE))</xm:f>
          </x14:formula1>
          <xm:sqref>B7:G7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B1E08-A652-43D6-AD1B-1A429332CDAE}">
  <sheetPr codeName="List11">
    <pageSetUpPr fitToPage="1"/>
  </sheetPr>
  <dimension ref="A1:AA57"/>
  <sheetViews>
    <sheetView topLeftCell="A12" zoomScale="80" zoomScaleNormal="80" workbookViewId="0">
      <selection activeCell="L30" sqref="L30:L31"/>
    </sheetView>
  </sheetViews>
  <sheetFormatPr defaultRowHeight="15" x14ac:dyDescent="0.25"/>
  <cols>
    <col min="1" max="1" width="55.7109375" customWidth="1"/>
    <col min="2" max="2" width="17.28515625" customWidth="1"/>
    <col min="3" max="3" width="1.7109375" customWidth="1"/>
    <col min="4" max="6" width="10.7109375" customWidth="1"/>
    <col min="7" max="7" width="20" customWidth="1"/>
    <col min="8" max="8" width="1.7109375" customWidth="1"/>
    <col min="9" max="9" width="10.7109375" customWidth="1"/>
    <col min="10" max="10" width="13.7109375" customWidth="1"/>
    <col min="11" max="11" width="13.85546875" customWidth="1"/>
    <col min="12" max="12" width="13.42578125" customWidth="1"/>
    <col min="13" max="13" width="1.5703125" customWidth="1"/>
    <col min="14" max="14" width="24.28515625" customWidth="1"/>
    <col min="15" max="15" width="22.85546875" customWidth="1"/>
    <col min="16" max="16" width="3.5703125" customWidth="1"/>
    <col min="17" max="17" width="62.140625" customWidth="1"/>
  </cols>
  <sheetData>
    <row r="1" spans="1:24" ht="23.25" x14ac:dyDescent="0.25">
      <c r="A1" s="188" t="s">
        <v>14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3" spans="1:24" ht="18.75" x14ac:dyDescent="0.25">
      <c r="A3" s="189" t="s">
        <v>0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</row>
    <row r="4" spans="1:24" ht="15.75" thickBot="1" x14ac:dyDescent="0.3">
      <c r="R4" s="96"/>
      <c r="S4" s="96"/>
      <c r="T4" s="96"/>
      <c r="U4" s="96"/>
    </row>
    <row r="5" spans="1:24" ht="16.5" thickBot="1" x14ac:dyDescent="0.3">
      <c r="A5" s="71" t="s">
        <v>1</v>
      </c>
      <c r="B5" s="190" t="s">
        <v>108</v>
      </c>
      <c r="C5" s="191"/>
      <c r="D5" s="191"/>
      <c r="E5" s="191"/>
      <c r="F5" s="191"/>
      <c r="G5" s="192"/>
      <c r="H5" s="40"/>
      <c r="I5" s="40"/>
      <c r="J5" s="40"/>
      <c r="K5" s="40"/>
      <c r="L5" s="40"/>
      <c r="M5" s="40"/>
      <c r="N5" s="71" t="s">
        <v>3</v>
      </c>
      <c r="O5" s="72">
        <f>VLOOKUP(B5,'OBCE, počet obyvatel'!C3:D1591,2,FALSE)</f>
        <v>5095</v>
      </c>
      <c r="R5" s="96"/>
      <c r="S5" s="96"/>
      <c r="T5" s="96"/>
      <c r="U5" s="96"/>
    </row>
    <row r="6" spans="1:24" ht="5.0999999999999996" customHeight="1" thickBot="1" x14ac:dyDescent="0.3">
      <c r="A6" s="71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73"/>
      <c r="O6" s="74"/>
      <c r="R6" s="96"/>
      <c r="S6" s="96"/>
      <c r="T6" s="96"/>
      <c r="U6" s="96"/>
    </row>
    <row r="7" spans="1:24" ht="16.5" thickBot="1" x14ac:dyDescent="0.3">
      <c r="A7" s="71" t="s">
        <v>2</v>
      </c>
      <c r="B7" s="218" t="s">
        <v>108</v>
      </c>
      <c r="C7" s="219"/>
      <c r="D7" s="219"/>
      <c r="E7" s="219"/>
      <c r="F7" s="219"/>
      <c r="G7" s="220"/>
      <c r="H7" s="40"/>
      <c r="I7" s="40"/>
      <c r="J7" s="99" t="str">
        <f>IF(OR(ISBLANK($J$16),$J$16="žádný"),0,$J$16)</f>
        <v>2</v>
      </c>
      <c r="K7" s="99">
        <f>IF(OR(ISBLANK($K$16),$K$16="žádný"),0,$K$16)</f>
        <v>0</v>
      </c>
      <c r="L7" s="40"/>
      <c r="M7" s="40"/>
      <c r="N7" s="73"/>
      <c r="O7" s="40"/>
      <c r="R7" s="96"/>
      <c r="S7" s="37"/>
      <c r="T7" s="37"/>
      <c r="U7" s="37"/>
      <c r="V7" s="37"/>
      <c r="W7" s="37"/>
      <c r="X7" s="37"/>
    </row>
    <row r="8" spans="1:24" x14ac:dyDescent="0.25">
      <c r="R8" s="96"/>
      <c r="S8" s="37"/>
      <c r="T8" s="37"/>
      <c r="U8" s="37"/>
      <c r="V8" s="37"/>
      <c r="W8" s="37"/>
      <c r="X8" s="37"/>
    </row>
    <row r="9" spans="1:24" ht="18.75" x14ac:dyDescent="0.25">
      <c r="A9" s="189" t="s">
        <v>82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R9" s="96"/>
      <c r="S9" s="37"/>
      <c r="T9" s="37"/>
      <c r="U9" s="37"/>
      <c r="V9" s="37"/>
      <c r="W9" s="37"/>
      <c r="X9" s="37"/>
    </row>
    <row r="10" spans="1:24" ht="5.0999999999999996" customHeight="1" thickBot="1" x14ac:dyDescent="0.3">
      <c r="R10" s="96"/>
      <c r="S10" s="37"/>
      <c r="T10" s="37"/>
      <c r="U10" s="37"/>
      <c r="V10" s="37"/>
      <c r="W10" s="37"/>
      <c r="X10" s="37"/>
    </row>
    <row r="11" spans="1:24" ht="26.25" customHeight="1" x14ac:dyDescent="0.25">
      <c r="A11" s="203" t="s">
        <v>81</v>
      </c>
      <c r="B11" s="206" t="s">
        <v>87</v>
      </c>
      <c r="D11" s="209" t="str">
        <f>Koef!B3</f>
        <v>Zdaňovací období roku 2024</v>
      </c>
      <c r="E11" s="210"/>
      <c r="F11" s="210"/>
      <c r="G11" s="211"/>
      <c r="I11" s="200" t="s">
        <v>77</v>
      </c>
      <c r="J11" s="201"/>
      <c r="K11" s="201"/>
      <c r="L11" s="201"/>
      <c r="M11" s="201"/>
      <c r="N11" s="201"/>
      <c r="O11" s="202"/>
      <c r="R11" s="96"/>
      <c r="S11" s="37"/>
      <c r="T11" s="37"/>
      <c r="U11" s="37"/>
      <c r="V11" s="37"/>
      <c r="W11" s="37"/>
      <c r="X11" s="37"/>
    </row>
    <row r="12" spans="1:24" ht="26.25" customHeight="1" thickBot="1" x14ac:dyDescent="0.3">
      <c r="A12" s="204"/>
      <c r="B12" s="207"/>
      <c r="D12" s="212"/>
      <c r="E12" s="213"/>
      <c r="F12" s="213"/>
      <c r="G12" s="214"/>
      <c r="I12" s="197" t="s">
        <v>72</v>
      </c>
      <c r="J12" s="198"/>
      <c r="K12" s="198"/>
      <c r="L12" s="198"/>
      <c r="M12" s="198"/>
      <c r="N12" s="198"/>
      <c r="O12" s="199"/>
      <c r="R12" s="96"/>
      <c r="S12" s="37"/>
      <c r="T12" s="37"/>
      <c r="U12" s="37"/>
      <c r="V12" s="37"/>
      <c r="W12" s="37"/>
      <c r="X12" s="37"/>
    </row>
    <row r="13" spans="1:24" ht="26.25" customHeight="1" x14ac:dyDescent="0.25">
      <c r="A13" s="204"/>
      <c r="B13" s="207"/>
      <c r="D13" s="212"/>
      <c r="E13" s="213"/>
      <c r="F13" s="213"/>
      <c r="G13" s="214"/>
      <c r="I13" s="177" t="s">
        <v>85</v>
      </c>
      <c r="J13" s="178"/>
      <c r="K13" s="178"/>
      <c r="L13" s="70">
        <v>1</v>
      </c>
      <c r="M13" s="174"/>
      <c r="N13" s="177" t="s">
        <v>4</v>
      </c>
      <c r="O13" s="206" t="s">
        <v>17</v>
      </c>
      <c r="R13" s="96" t="str">
        <f>IF(ISBLANK(R11),"",R11)</f>
        <v/>
      </c>
      <c r="S13" s="37"/>
      <c r="T13" s="37"/>
      <c r="U13" s="37"/>
      <c r="V13" s="37"/>
      <c r="W13" s="37"/>
      <c r="X13" s="37"/>
    </row>
    <row r="14" spans="1:24" ht="26.25" customHeight="1" thickBot="1" x14ac:dyDescent="0.3">
      <c r="A14" s="204"/>
      <c r="B14" s="207"/>
      <c r="D14" s="215"/>
      <c r="E14" s="216"/>
      <c r="F14" s="216"/>
      <c r="G14" s="217"/>
      <c r="I14" s="194" t="s">
        <v>84</v>
      </c>
      <c r="J14" s="195"/>
      <c r="K14" s="195"/>
      <c r="L14" s="196"/>
      <c r="M14" s="175"/>
      <c r="N14" s="194"/>
      <c r="O14" s="196"/>
      <c r="R14" s="37"/>
      <c r="S14" s="37"/>
      <c r="T14" s="37"/>
      <c r="U14" s="37"/>
      <c r="V14" s="37"/>
      <c r="W14" s="37"/>
      <c r="X14" s="37"/>
    </row>
    <row r="15" spans="1:24" ht="58.5" customHeight="1" thickTop="1" x14ac:dyDescent="0.25">
      <c r="A15" s="204"/>
      <c r="B15" s="207"/>
      <c r="D15" s="238" t="s">
        <v>69</v>
      </c>
      <c r="E15" s="239"/>
      <c r="F15" s="240"/>
      <c r="G15" s="241" t="s">
        <v>4</v>
      </c>
      <c r="I15" s="221" t="s">
        <v>80</v>
      </c>
      <c r="J15" s="87" t="s">
        <v>96</v>
      </c>
      <c r="K15" s="88" t="s">
        <v>78</v>
      </c>
      <c r="L15" s="170" t="s">
        <v>79</v>
      </c>
      <c r="M15" s="175"/>
      <c r="N15" s="194"/>
      <c r="O15" s="196"/>
      <c r="R15" s="37"/>
      <c r="S15" s="37"/>
      <c r="T15" s="37"/>
      <c r="U15" s="37"/>
      <c r="V15" s="37"/>
      <c r="W15" s="37"/>
      <c r="X15" s="37"/>
    </row>
    <row r="16" spans="1:24" ht="45" customHeight="1" thickBot="1" x14ac:dyDescent="0.3">
      <c r="A16" s="205"/>
      <c r="B16" s="208"/>
      <c r="D16" s="80" t="s">
        <v>80</v>
      </c>
      <c r="E16" s="89">
        <v>1.5</v>
      </c>
      <c r="F16" s="90" t="s">
        <v>96</v>
      </c>
      <c r="G16" s="242"/>
      <c r="I16" s="222"/>
      <c r="J16" s="118" t="s">
        <v>124</v>
      </c>
      <c r="K16" s="119" t="s">
        <v>97</v>
      </c>
      <c r="L16" s="171"/>
      <c r="M16" s="175"/>
      <c r="N16" s="179"/>
      <c r="O16" s="223"/>
      <c r="P16" s="95" t="str">
        <f>IF(HELP!AF4="ANO","","!!!")</f>
        <v/>
      </c>
      <c r="Q16" s="94" t="str">
        <f>IF(HELP!AF4="ANO","","POZOR! Koeficient pro OBEC musí být na všech KÚ shodný!")</f>
        <v/>
      </c>
      <c r="R16" s="96"/>
      <c r="S16" s="96"/>
      <c r="T16" s="117" t="str">
        <f>IF(VLOOKUP($B$7,Všechny_obce_koeficienty!$D$2:$U$1045,18,FALSE)="",1,VLOOKUP($B$7,Všechny_obce_koeficienty!$D$2:$U$1045,18,FALSE))</f>
        <v>2</v>
      </c>
      <c r="U16" s="96" t="s">
        <v>97</v>
      </c>
      <c r="V16" s="37"/>
      <c r="W16" s="37"/>
      <c r="X16" s="37"/>
    </row>
    <row r="17" spans="1:27" ht="15" customHeight="1" thickTop="1" x14ac:dyDescent="0.25">
      <c r="A17" s="36" t="s">
        <v>6</v>
      </c>
      <c r="B17" s="39">
        <f>VLOOKUP(B7,Všechny_obce_koeficienty!D2:U6,2,FALSE)*0.0135</f>
        <v>4.752E-2</v>
      </c>
      <c r="C17" s="40"/>
      <c r="D17" s="41" t="s">
        <v>16</v>
      </c>
      <c r="E17" s="42" t="s">
        <v>16</v>
      </c>
      <c r="F17" s="43">
        <v>1</v>
      </c>
      <c r="G17" s="128">
        <f>VLOOKUP($B$7,Obce_vynos!B3:AB1045,2,FALSE)</f>
        <v>32581</v>
      </c>
      <c r="H17" s="40"/>
      <c r="I17" s="41" t="s">
        <v>16</v>
      </c>
      <c r="J17" s="166">
        <v>1</v>
      </c>
      <c r="K17" s="167"/>
      <c r="L17" s="121"/>
      <c r="M17" s="176"/>
      <c r="N17" s="106">
        <f>IF(L17="",G17/F17*J17,G17/F17*L17)</f>
        <v>32581</v>
      </c>
      <c r="O17" s="107">
        <f t="shared" ref="O17:O26" si="0">N17-G17</f>
        <v>0</v>
      </c>
      <c r="P17" s="95" t="str">
        <f>IF(HELP!AF7="ANO","","!!!")</f>
        <v/>
      </c>
      <c r="Q17" s="94" t="str">
        <f>IF(HELP!AF7="ANO","","POZOR! Koeficient pro skupinu NV musí být na všech KÚ shodný!")</f>
        <v/>
      </c>
      <c r="R17" s="136"/>
      <c r="S17" s="136"/>
      <c r="T17" s="96"/>
      <c r="U17" s="96"/>
      <c r="V17" s="37"/>
      <c r="W17" s="37"/>
      <c r="X17" s="37"/>
    </row>
    <row r="18" spans="1:27" ht="15" customHeight="1" x14ac:dyDescent="0.25">
      <c r="A18" s="5" t="s">
        <v>5</v>
      </c>
      <c r="B18" s="44">
        <f>VLOOKUP(B7,Všechny_obce_koeficienty!D2:U6,2,FALSE)*0.0045</f>
        <v>1.584E-2</v>
      </c>
      <c r="C18" s="40"/>
      <c r="D18" s="129" t="s">
        <v>16</v>
      </c>
      <c r="E18" s="45" t="s">
        <v>16</v>
      </c>
      <c r="F18" s="131">
        <v>1</v>
      </c>
      <c r="G18" s="126">
        <f>VLOOKUP($B$7,Obce_vynos!B3:AB1045,3,FALSE)</f>
        <v>28228</v>
      </c>
      <c r="H18" s="40"/>
      <c r="I18" s="129" t="s">
        <v>16</v>
      </c>
      <c r="J18" s="168">
        <v>1</v>
      </c>
      <c r="K18" s="169"/>
      <c r="L18" s="122"/>
      <c r="M18" s="176"/>
      <c r="N18" s="108">
        <f>IF(L18="",G18/F18*J18,G18/F18*L18)</f>
        <v>28228</v>
      </c>
      <c r="O18" s="133">
        <f t="shared" si="0"/>
        <v>0</v>
      </c>
      <c r="P18" s="95" t="str">
        <f>IF(HELP!AF10="ANO","","!!!")</f>
        <v/>
      </c>
      <c r="Q18" s="94" t="str">
        <f>IF(HELP!AF10="ANO","","POZOR! Koeficient pro skupinu NV musí být na všech KÚ shodný!")</f>
        <v/>
      </c>
      <c r="R18" s="96"/>
      <c r="S18" s="96"/>
      <c r="T18" s="96"/>
      <c r="U18" s="96"/>
      <c r="V18" s="37"/>
      <c r="W18" s="37"/>
      <c r="X18" s="37"/>
    </row>
    <row r="19" spans="1:27" ht="15" customHeight="1" x14ac:dyDescent="0.25">
      <c r="A19" s="5" t="s">
        <v>68</v>
      </c>
      <c r="B19" s="46">
        <v>0.08</v>
      </c>
      <c r="C19" s="40"/>
      <c r="D19" s="129" t="s">
        <v>16</v>
      </c>
      <c r="E19" s="45" t="s">
        <v>16</v>
      </c>
      <c r="F19" s="131">
        <v>1</v>
      </c>
      <c r="G19" s="126">
        <f>VLOOKUP($B$7,Obce_vynos!B3:AB1045,23,FALSE)</f>
        <v>9773</v>
      </c>
      <c r="H19" s="40"/>
      <c r="I19" s="129" t="s">
        <v>16</v>
      </c>
      <c r="J19" s="168">
        <v>1</v>
      </c>
      <c r="K19" s="169"/>
      <c r="L19" s="122"/>
      <c r="M19" s="176"/>
      <c r="N19" s="108">
        <f>IF(L19="",G19/F19*J19,G19/F19*L19)</f>
        <v>9773</v>
      </c>
      <c r="O19" s="133">
        <f t="shared" si="0"/>
        <v>0</v>
      </c>
      <c r="P19" s="95" t="str">
        <f>IF(HELP!AF13="ANO","","!!!")</f>
        <v/>
      </c>
      <c r="Q19" s="94" t="str">
        <f>IF(HELP!AF13="ANO","","POZOR! Koeficient pro skupinu NV musí být na všech KÚ shodný!")</f>
        <v/>
      </c>
      <c r="R19" s="96"/>
      <c r="S19" s="96"/>
      <c r="T19" s="96"/>
      <c r="U19" s="96"/>
      <c r="V19" s="37"/>
      <c r="W19" s="37"/>
      <c r="X19" s="37"/>
    </row>
    <row r="20" spans="1:27" ht="15" customHeight="1" x14ac:dyDescent="0.25">
      <c r="A20" s="5" t="s">
        <v>7</v>
      </c>
      <c r="B20" s="47">
        <f>3.8*0.0045</f>
        <v>1.7099999999999997E-2</v>
      </c>
      <c r="C20" s="40"/>
      <c r="D20" s="48" t="s">
        <v>16</v>
      </c>
      <c r="E20" s="45" t="s">
        <v>16</v>
      </c>
      <c r="F20" s="131" t="str">
        <f>IF(VLOOKUP($B$7,Všechny_obce_koeficienty!$D$2:$U$1045,18,FALSE)="","1,0",VLOOKUP($B$7,Všechny_obce_koeficienty!$D$2:$U$1045,18,FALSE))</f>
        <v>2</v>
      </c>
      <c r="G20" s="126">
        <f>VLOOKUP($B$7,Obce_vynos!B3:AB1045,4,FALSE)</f>
        <v>2894</v>
      </c>
      <c r="H20" s="40"/>
      <c r="I20" s="129" t="s">
        <v>16</v>
      </c>
      <c r="J20" s="131" t="str">
        <f>IF(OR(ISBLANK($J$16),$J$16="žádný"),"",$J$16)</f>
        <v>2</v>
      </c>
      <c r="K20" s="131" t="str">
        <f>IF(OR(ISBLANK($K$16),$K$16="žádný"),"",$K$16)</f>
        <v/>
      </c>
      <c r="L20" s="123"/>
      <c r="M20" s="176"/>
      <c r="N20" s="108">
        <f>IF(R20=0,G20/F20,G20/F20*R20)*$L$13</f>
        <v>2894</v>
      </c>
      <c r="O20" s="133">
        <f t="shared" si="0"/>
        <v>0</v>
      </c>
      <c r="P20" s="95" t="str">
        <f>IF(HELP!AF16="ANO","","!!!")</f>
        <v/>
      </c>
      <c r="Q20" s="94" t="str">
        <f>IF(HELP!AF16="ANO","","POZOR! Koeficient pro skupinu NV musí být na všech KÚ shodný!")</f>
        <v/>
      </c>
      <c r="R20" s="135" t="str">
        <f>IF(IF(L20&gt;=$K$7,L20,IF(L20="",$K$7,IF($K$7="",$J$7,$K$7)))=0,$J$7,IF(L20&gt;=$K$7,L20,IF(L20="",$K$7,IF($K$7="",$J$7,$K$7))))</f>
        <v>2</v>
      </c>
      <c r="S20" s="96"/>
      <c r="T20" s="96"/>
      <c r="U20" s="96"/>
      <c r="V20" s="37"/>
      <c r="W20" s="37"/>
      <c r="X20" s="37"/>
    </row>
    <row r="21" spans="1:27" ht="15" customHeight="1" x14ac:dyDescent="0.25">
      <c r="A21" s="5" t="s">
        <v>8</v>
      </c>
      <c r="B21" s="46">
        <v>0.35</v>
      </c>
      <c r="C21" s="40"/>
      <c r="D21" s="48" t="s">
        <v>16</v>
      </c>
      <c r="E21" s="45" t="s">
        <v>16</v>
      </c>
      <c r="F21" s="131" t="str">
        <f>IF(VLOOKUP($B$7,Všechny_obce_koeficienty!$D$2:$U$1045,18,FALSE)="","1,0",VLOOKUP($B$7,Všechny_obce_koeficienty!$D$2:$U$1045,18,FALSE))</f>
        <v>2</v>
      </c>
      <c r="G21" s="126">
        <f>VLOOKUP($B$7,Obce_vynos!B3:AB1045,5,FALSE)</f>
        <v>55281</v>
      </c>
      <c r="H21" s="40"/>
      <c r="I21" s="129" t="s">
        <v>16</v>
      </c>
      <c r="J21" s="131" t="str">
        <f t="shared" ref="J21:J40" si="1">IF(OR(ISBLANK($J$16),$J$16="žádný"),"",$J$16)</f>
        <v>2</v>
      </c>
      <c r="K21" s="131" t="str">
        <f t="shared" ref="K21:K40" si="2">IF(OR(ISBLANK($K$16),$K$16="žádný"),"",$K$16)</f>
        <v/>
      </c>
      <c r="L21" s="134"/>
      <c r="M21" s="176"/>
      <c r="N21" s="108">
        <f>IF(R21=0,G21/F21,G21/F21*R21)*$L$13</f>
        <v>55281</v>
      </c>
      <c r="O21" s="133">
        <f t="shared" si="0"/>
        <v>0</v>
      </c>
      <c r="P21" s="95" t="str">
        <f>IF(HELP!AF19="ANO","","!!!")</f>
        <v/>
      </c>
      <c r="Q21" s="94" t="str">
        <f>IF(HELP!AF19="ANO","","POZOR! Koeficient pro skupinu NV musí být na všech KÚ shodný!")</f>
        <v/>
      </c>
      <c r="R21" s="135" t="str">
        <f t="shared" ref="R21:R40" si="3">IF(IF(L21&gt;=$K$7,L21,IF(L21="",$K$7,IF($K$7="",$J$7,$K$7)))=0,$J$7,IF(L21&gt;=$K$7,L21,IF(L21="",$K$7,IF($K$7="",$J$7,$K$7))))</f>
        <v>2</v>
      </c>
      <c r="S21" s="96"/>
      <c r="T21" s="96"/>
      <c r="U21" s="96"/>
      <c r="V21" s="37"/>
      <c r="W21" s="37"/>
      <c r="X21" s="37"/>
    </row>
    <row r="22" spans="1:27" ht="15" customHeight="1" x14ac:dyDescent="0.25">
      <c r="A22" s="5" t="s">
        <v>9</v>
      </c>
      <c r="B22" s="46">
        <v>3.5</v>
      </c>
      <c r="C22" s="40"/>
      <c r="D22" s="130">
        <f>IF(VLOOKUP($B$7,Všechny_obce_koeficienty!$D$2:$U$1045,3,FALSE)="",1,VLOOKUP($B$7,Všechny_obce_koeficienty!$D$2:$U$1045,3,FALSE))</f>
        <v>1.4</v>
      </c>
      <c r="E22" s="45" t="s">
        <v>16</v>
      </c>
      <c r="F22" s="131" t="str">
        <f>IF(VLOOKUP($B$7,Všechny_obce_koeficienty!$D$2:$U$1045,18,FALSE)="","1,0",VLOOKUP($B$7,Všechny_obce_koeficienty!$D$2:$U$1045,18,FALSE))</f>
        <v>2</v>
      </c>
      <c r="G22" s="126">
        <f>VLOOKUP($B$7,Obce_vynos!B3:AB1045,6,FALSE)</f>
        <v>6326</v>
      </c>
      <c r="H22" s="40"/>
      <c r="I22" s="120">
        <v>1.4</v>
      </c>
      <c r="J22" s="131" t="str">
        <f t="shared" si="1"/>
        <v>2</v>
      </c>
      <c r="K22" s="131" t="str">
        <f t="shared" si="2"/>
        <v/>
      </c>
      <c r="L22" s="134"/>
      <c r="M22" s="176"/>
      <c r="N22" s="108">
        <f>IF(R22=0,G22/D22*I22/F22,G22/D22*I22/F22*R22)*$L$13</f>
        <v>6325.9999999999991</v>
      </c>
      <c r="O22" s="133">
        <f t="shared" si="0"/>
        <v>0</v>
      </c>
      <c r="P22" s="95" t="str">
        <f>IF(HELP!AF22="ANO","","!!!")</f>
        <v/>
      </c>
      <c r="Q22" s="94" t="str">
        <f>IF(HELP!AF22="ANO","","POZOR! Koeficient pro skupinu NV musí být na všech KÚ shodný!")</f>
        <v/>
      </c>
      <c r="R22" s="135" t="str">
        <f t="shared" si="3"/>
        <v>2</v>
      </c>
      <c r="S22" s="117">
        <f>IF(O5&lt;=1000,Koef!I11,IF(O5&lt;=6000,Koef!J12,IF(O5&lt;=10000,Koef!K13,IF(O5&lt;=25000,Koef!L14,IF(O5&lt;=50000,Koef!L15,Koef!L16)))))</f>
        <v>1.4</v>
      </c>
      <c r="T22" s="117">
        <f>IF(S22&gt;=D22,S22,D22)</f>
        <v>1.4</v>
      </c>
      <c r="U22" s="96"/>
      <c r="V22" s="37"/>
      <c r="W22" s="37"/>
      <c r="X22" s="37"/>
    </row>
    <row r="23" spans="1:27" ht="15" customHeight="1" x14ac:dyDescent="0.25">
      <c r="A23" s="5" t="s">
        <v>10</v>
      </c>
      <c r="B23" s="46">
        <v>0.35</v>
      </c>
      <c r="C23" s="40"/>
      <c r="D23" s="48" t="s">
        <v>16</v>
      </c>
      <c r="E23" s="45" t="s">
        <v>16</v>
      </c>
      <c r="F23" s="131" t="str">
        <f>IF(VLOOKUP($B$7,Všechny_obce_koeficienty!$D$2:$U$1045,18,FALSE)="","1,0",VLOOKUP($B$7,Všechny_obce_koeficienty!$D$2:$U$1045,18,FALSE))</f>
        <v>2</v>
      </c>
      <c r="G23" s="126">
        <f>VLOOKUP($B$7,Obce_vynos!B3:AB1045,7,FALSE)</f>
        <v>108275</v>
      </c>
      <c r="H23" s="40"/>
      <c r="I23" s="129" t="s">
        <v>16</v>
      </c>
      <c r="J23" s="131" t="str">
        <f t="shared" si="1"/>
        <v>2</v>
      </c>
      <c r="K23" s="131" t="str">
        <f t="shared" si="2"/>
        <v/>
      </c>
      <c r="L23" s="134"/>
      <c r="M23" s="176"/>
      <c r="N23" s="108">
        <f>IF(R23=0,G23/F23,G23/F23*R23)*$L$13</f>
        <v>108275</v>
      </c>
      <c r="O23" s="133">
        <f t="shared" si="0"/>
        <v>0</v>
      </c>
      <c r="P23" s="95" t="str">
        <f>IF(HELP!AF25="ANO","","!!!")</f>
        <v/>
      </c>
      <c r="Q23" s="94" t="str">
        <f>IF(HELP!AF25="ANO","","POZOR! Koeficient pro skupinu NV musí být na všech KÚ shodný!")</f>
        <v/>
      </c>
      <c r="R23" s="135" t="str">
        <f t="shared" si="3"/>
        <v>2</v>
      </c>
      <c r="S23" s="96"/>
      <c r="T23" s="117"/>
      <c r="U23" s="96"/>
      <c r="V23" s="37"/>
      <c r="W23" s="37"/>
      <c r="X23" s="37"/>
    </row>
    <row r="24" spans="1:27" ht="15" customHeight="1" x14ac:dyDescent="0.25">
      <c r="A24" s="5" t="s">
        <v>67</v>
      </c>
      <c r="B24" s="46">
        <v>0.35</v>
      </c>
      <c r="C24" s="40"/>
      <c r="D24" s="48" t="s">
        <v>16</v>
      </c>
      <c r="E24" s="45" t="s">
        <v>16</v>
      </c>
      <c r="F24" s="131" t="str">
        <f>IF(VLOOKUP($B$7,Všechny_obce_koeficienty!$D$2:$U$1045,18,FALSE)="","1,0",VLOOKUP($B$7,Všechny_obce_koeficienty!$D$2:$U$1045,18,FALSE))</f>
        <v>2</v>
      </c>
      <c r="G24" s="126">
        <f>VLOOKUP($B$7,Obce_vynos!B3:AB1045,17,FALSE)</f>
        <v>30108</v>
      </c>
      <c r="H24" s="40"/>
      <c r="I24" s="129" t="s">
        <v>16</v>
      </c>
      <c r="J24" s="131" t="str">
        <f t="shared" si="1"/>
        <v>2</v>
      </c>
      <c r="K24" s="131" t="str">
        <f t="shared" si="2"/>
        <v/>
      </c>
      <c r="L24" s="134"/>
      <c r="M24" s="176"/>
      <c r="N24" s="108">
        <f>IF(R24=0,G24/F24,G24/F24*R24)*$L$13</f>
        <v>30108</v>
      </c>
      <c r="O24" s="133">
        <f t="shared" si="0"/>
        <v>0</v>
      </c>
      <c r="P24" s="95" t="str">
        <f>IF(HELP!AF28="ANO","","!!!")</f>
        <v/>
      </c>
      <c r="Q24" s="94" t="str">
        <f>IF(HELP!AF28="ANO","","POZOR! Koeficient pro skupinu NV musí být na všech KÚ shodný!")</f>
        <v/>
      </c>
      <c r="R24" s="135" t="str">
        <f t="shared" si="3"/>
        <v>2</v>
      </c>
      <c r="S24" s="96"/>
      <c r="T24" s="117"/>
      <c r="U24" s="96"/>
      <c r="V24" s="37"/>
      <c r="W24" s="37"/>
      <c r="X24" s="37"/>
    </row>
    <row r="25" spans="1:27" ht="15" customHeight="1" x14ac:dyDescent="0.25">
      <c r="A25" s="5" t="s">
        <v>19</v>
      </c>
      <c r="B25" s="46">
        <v>1.8</v>
      </c>
      <c r="C25" s="40"/>
      <c r="D25" s="48" t="s">
        <v>16</v>
      </c>
      <c r="E25" s="45" t="s">
        <v>16</v>
      </c>
      <c r="F25" s="131" t="str">
        <f>IF(VLOOKUP($B$7,Všechny_obce_koeficienty!$D$2:$U$1045,18,FALSE)="","1,0",VLOOKUP($B$7,Všechny_obce_koeficienty!$D$2:$U$1045,18,FALSE))</f>
        <v>2</v>
      </c>
      <c r="G25" s="126">
        <f>VLOOKUP($B$7,Obce_vynos!B3:AB1045,24,FALSE)</f>
        <v>100924</v>
      </c>
      <c r="H25" s="40"/>
      <c r="I25" s="129" t="s">
        <v>16</v>
      </c>
      <c r="J25" s="131" t="str">
        <f t="shared" si="1"/>
        <v>2</v>
      </c>
      <c r="K25" s="131" t="str">
        <f t="shared" si="2"/>
        <v/>
      </c>
      <c r="L25" s="134"/>
      <c r="M25" s="176"/>
      <c r="N25" s="108">
        <f>IF(R25=0,G25/F25,G25/F25*R25)*$L$13</f>
        <v>100924</v>
      </c>
      <c r="O25" s="133">
        <f t="shared" si="0"/>
        <v>0</v>
      </c>
      <c r="P25" s="95" t="str">
        <f>IF(HELP!AF31="ANO","","!!!")</f>
        <v/>
      </c>
      <c r="Q25" s="94" t="str">
        <f>IF(HELP!AF31="ANO","","POZOR! Koeficient pro skupinu NV musí být na všech KÚ shodný!")</f>
        <v/>
      </c>
      <c r="R25" s="135" t="str">
        <f t="shared" si="3"/>
        <v>2</v>
      </c>
      <c r="S25" s="96"/>
      <c r="T25" s="117"/>
      <c r="U25" s="96"/>
      <c r="V25" s="37"/>
      <c r="W25" s="37"/>
      <c r="X25" s="37"/>
    </row>
    <row r="26" spans="1:27" ht="15" customHeight="1" thickBot="1" x14ac:dyDescent="0.3">
      <c r="A26" s="6" t="s">
        <v>18</v>
      </c>
      <c r="B26" s="49">
        <v>9</v>
      </c>
      <c r="C26" s="40"/>
      <c r="D26" s="50" t="s">
        <v>16</v>
      </c>
      <c r="E26" s="51" t="s">
        <v>16</v>
      </c>
      <c r="F26" s="52" t="str">
        <f>IF(VLOOKUP($B$7,Všechny_obce_koeficienty!$D$2:$U$1045,18,FALSE)="","1,0",VLOOKUP($B$7,Všechny_obce_koeficienty!$D$2:$U$1045,18,FALSE))</f>
        <v>2</v>
      </c>
      <c r="G26" s="127">
        <f>VLOOKUP($B$7,Obce_vynos!B3:AB1045,25,FALSE)</f>
        <v>101592</v>
      </c>
      <c r="H26" s="40"/>
      <c r="I26" s="53" t="s">
        <v>16</v>
      </c>
      <c r="J26" s="52" t="str">
        <f t="shared" si="1"/>
        <v>2</v>
      </c>
      <c r="K26" s="52" t="str">
        <f t="shared" si="2"/>
        <v/>
      </c>
      <c r="L26" s="124"/>
      <c r="M26" s="176"/>
      <c r="N26" s="109">
        <f>IF(R26=0,G26/F26,G26/F26*R26)*$L$13</f>
        <v>101592</v>
      </c>
      <c r="O26" s="110">
        <f t="shared" si="0"/>
        <v>0</v>
      </c>
      <c r="P26" s="95" t="str">
        <f>IF(HELP!AF34="ANO","","!!!")</f>
        <v/>
      </c>
      <c r="Q26" s="94" t="str">
        <f>IF(HELP!AF34="ANO","","POZOR! Koeficient pro skupinu NV musí být na všech KÚ shodný!")</f>
        <v/>
      </c>
      <c r="R26" s="135" t="str">
        <f t="shared" si="3"/>
        <v>2</v>
      </c>
      <c r="S26" s="96"/>
      <c r="T26" s="117"/>
      <c r="U26" s="96"/>
      <c r="V26" s="37"/>
      <c r="W26" s="37"/>
      <c r="X26" s="37"/>
    </row>
    <row r="27" spans="1:27" ht="5.0999999999999996" customHeight="1" thickBot="1" x14ac:dyDescent="0.3">
      <c r="A27" s="32"/>
      <c r="B27" s="54"/>
      <c r="C27" s="40"/>
      <c r="D27" s="55"/>
      <c r="E27" s="56"/>
      <c r="F27" s="56"/>
      <c r="G27" s="57"/>
      <c r="H27" s="40"/>
      <c r="I27" s="58"/>
      <c r="J27" s="38"/>
      <c r="K27" s="38"/>
      <c r="L27" s="38"/>
      <c r="M27" s="40"/>
      <c r="N27" s="59"/>
      <c r="O27" s="60"/>
      <c r="P27" s="95" t="str">
        <f>IFERROR(IF(AND(L27=#REF!,L27=#REF!,L27=#REF!,L27=#REF!,L27=#REF!,L27=#REF!,L27=#REF!,L27=#REF!,L27=#REF!,L27=#REF!,L27=#REF!,L27=#REF!),"","!!!"),IFERROR(IF(AND(L27=#REF!,L27=#REF!,L27=#REF!,L27=#REF!,L27=#REF!,L27=#REF!,L27=#REF!,L27=#REF!,L27=#REF!,L27=#REF!,L27=#REF!),"","!!!"),IFERROR(IF(AND(L27=#REF!,L27=#REF!,L27=#REF!,L27=#REF!,L27=#REF!,L27=#REF!,L27=#REF!,L27=#REF!,L27=#REF!,L27=#REF!),"","!!!"),IFERROR(IF(AND(L27=#REF!,L27=#REF!,L27=#REF!,L27=#REF!,L27=#REF!,L27=#REF!,L27=#REF!,L27=#REF!,L27=#REF!,),"","!!!"),IFERROR(IF(AND(L27=#REF!,L27=#REF!,L27=#REF!,L27=#REF!,L27=#REF!,L27=#REF!,L27=#REF!,L27=#REF!),"","!!!"),IFERROR(IF(AND(L27=#REF!,L27=#REF!,L27=#REF!,L27=#REF!,L27=#REF!,L27=#REF!,L27=#REF!),"","!!!"),IFERROR(IF(AND(L27=#REF!,L27=#REF!,L27=#REF!,L27=#REF!,L27=#REF!,L27=#REF!),"","!!!"),IFERROR(IF(AND(L27=#REF!,L27=#REF!,L27=#REF!,L27=#REF!,L27=#REF!),"","!!!"),IFERROR(IF(AND(L27=#REF!,L27=#REF!,L27=#REF!,L27=#REF!),"","!!!"),IFERROR(IF(AND(L27=#REF!,L27=#REF!,L27=#REF!),"","!!!"),IFERROR(IF(AND(L27=#REF!,L27=#REF!),"","!!!"),IFERROR(IF(AND(L27=#REF!),"","!!!"),""))))))))))))</f>
        <v/>
      </c>
      <c r="Q27" s="94" t="str">
        <f>IFERROR(IF(AND(L27=#REF!,L27=#REF!,L27=#REF!,L27=#REF!,L27=#REF!,L27=#REF!,L27=#REF!,L27=#REF!,L27=#REF!,L27=#REF!,L27=#REF!,L27=#REF!),"","POZOR! Koeficient pro skupinu NV musí být na všech KÚ shodný!"),IFERROR(IF(AND(L27=#REF!,L27=#REF!,L27=#REF!,L27=#REF!,L27=#REF!,L27=#REF!,L27=#REF!,L27=#REF!,L27=#REF!,L27=#REF!,L27=#REF!),"","POZOR! Koeficient pro skupinu NV musí být na všech KÚ shodný!"),IFERROR(IF(AND(L27=#REF!,L27=#REF!,L27=#REF!,L27=#REF!,L27=#REF!,L27=#REF!,L27=#REF!,L27=#REF!,L27=#REF!,L27=#REF!),"","POZOR! Koeficient pro skupinu NV musí být na všech KÚ shodný!"),IFERROR(IF(AND(L27=#REF!,L27=#REF!,L27=#REF!,L27=#REF!,L27=#REF!,L27=#REF!,L27=#REF!,L27=#REF!,L27=#REF!,),"","POZOR! Koeficient pro skupinu NV musí být na všech KÚ shodný!"),IFERROR(IF(AND(L27=#REF!,L27=#REF!,L27=#REF!,L27=#REF!,L27=#REF!,L27=#REF!,L27=#REF!,L27=#REF!),"","POZOR! Koeficient pro skupinu NV musí být na všech KÚ shodný!"),IFERROR(IF(AND(L27=#REF!,L27=#REF!,L27=#REF!,L27=#REF!,L27=#REF!,L27=#REF!,L27=#REF!),"","POZOR! Koeficient pro skupinu NV musí být na všech KÚ shodný!"),IFERROR(IF(AND(L27=#REF!,L27=#REF!,L27=#REF!,L27=#REF!,L27=#REF!,L27=#REF!),"","POZOR! Koeficient pro skupinu NV musí být na všech KÚ shodný!"),IFERROR(IF(AND(L27=#REF!,L27=#REF!,L27=#REF!,L27=#REF!,L27=#REF!),"","POZOR! Koeficient pro skupinu NV musí být na všech KÚ shodný!"),IFERROR(IF(AND(L27=#REF!,L27=#REF!,L27=#REF!,L27=#REF!),"","POZOR! Koeficient pro skupinu NV musí být na všech KÚ shodný!"),IFERROR(IF(AND(L27=#REF!,L27=#REF!,L27=#REF!),"","POZOR! Koeficient pro skupinu NV musí být na všech KÚ shodný!"),IFERROR(IF(AND(L27=#REF!,L27=#REF!),"","POZOR! Koeficient pro skupinu NV musí být na všech KÚ shodný!"),IFERROR(IF(AND(L27=#REF!),"","POZOR! Koeficient pro skupinu NV musí být na všech KÚ shodný!"),""))))))))))))</f>
        <v/>
      </c>
      <c r="R27" s="135" t="str">
        <f t="shared" si="3"/>
        <v>2</v>
      </c>
      <c r="S27" s="96"/>
      <c r="T27" s="117"/>
      <c r="U27" s="96"/>
      <c r="V27" s="37"/>
      <c r="W27" s="37"/>
      <c r="X27" s="37"/>
    </row>
    <row r="28" spans="1:27" ht="30" x14ac:dyDescent="0.25">
      <c r="A28" s="7" t="s">
        <v>74</v>
      </c>
      <c r="B28" s="61">
        <v>3.5</v>
      </c>
      <c r="C28" s="40"/>
      <c r="D28" s="130">
        <f>IF(VLOOKUP($B$7,Všechny_obce_koeficienty!$D$2:$U$1045,4,FALSE)="",1,VLOOKUP($B$7,Všechny_obce_koeficienty!$D$2:$U$1045,4,FALSE))</f>
        <v>1.4</v>
      </c>
      <c r="E28" s="62" t="s">
        <v>16</v>
      </c>
      <c r="F28" s="63" t="str">
        <f>IF(VLOOKUP($B$7,Všechny_obce_koeficienty!$D$2:$U$1045,18,FALSE)="","1,0",VLOOKUP($B$7,Všechny_obce_koeficienty!$D$2:$U$1045,18,FALSE))</f>
        <v>2</v>
      </c>
      <c r="G28" s="64">
        <f>VLOOKUP($B$7,Obce_vynos!B3:AB1045,8,FALSE)+VLOOKUP($B$7,Obce_vynos!B3:AB1045,9,FALSE)</f>
        <v>1320640</v>
      </c>
      <c r="H28" s="40"/>
      <c r="I28" s="120">
        <v>1.4</v>
      </c>
      <c r="J28" s="63" t="str">
        <f t="shared" si="1"/>
        <v>2</v>
      </c>
      <c r="K28" s="63" t="str">
        <f t="shared" si="2"/>
        <v/>
      </c>
      <c r="L28" s="125"/>
      <c r="M28" s="176"/>
      <c r="N28" s="111">
        <f>IF(R28=0,G28/D28*I28/F28,G28/D28*I28/F28*R28)*$L$13</f>
        <v>1320640</v>
      </c>
      <c r="O28" s="112">
        <f>N28-G28</f>
        <v>0</v>
      </c>
      <c r="P28" s="95" t="str">
        <f>IF(HELP!AF37="ANO","","!!!")</f>
        <v/>
      </c>
      <c r="Q28" s="94" t="str">
        <f>IF(HELP!AF37="ANO","","POZOR! Koeficient pro skupinu NV musí být na všech KÚ shodný!")</f>
        <v/>
      </c>
      <c r="R28" s="135" t="str">
        <f t="shared" si="3"/>
        <v>2</v>
      </c>
      <c r="S28" s="117">
        <f>IF(O5&lt;=1000,Koef!I11,IF(O5&lt;=6000,Koef!J12,IF(O5&lt;=10000,Koef!K13,IF(O5&lt;=25000,Koef!L14,IF(O5&lt;=50000,Koef!L15,Koef!L16)))))</f>
        <v>1.4</v>
      </c>
      <c r="T28" s="117">
        <f>IF(S28&gt;=D28,S28,D28)</f>
        <v>1.4</v>
      </c>
      <c r="U28" s="96"/>
      <c r="V28" s="37"/>
      <c r="W28" s="37"/>
      <c r="X28" s="37"/>
    </row>
    <row r="29" spans="1:27" ht="30" customHeight="1" x14ac:dyDescent="0.25">
      <c r="A29" s="5" t="s">
        <v>75</v>
      </c>
      <c r="B29" s="46">
        <v>3.5</v>
      </c>
      <c r="C29" s="40"/>
      <c r="D29" s="130">
        <f>IF(VLOOKUP($B$7,Všechny_obce_koeficienty!$D$2:$U$1045,12,FALSE)="",1,VLOOKUP($B$7,Všechny_obce_koeficienty!$D$2:$U$1045,12,FALSE))</f>
        <v>1.4</v>
      </c>
      <c r="E29" s="45" t="s">
        <v>16</v>
      </c>
      <c r="F29" s="131" t="str">
        <f>IF(VLOOKUP($B$7,Všechny_obce_koeficienty!$D$2:$U$1045,18,FALSE)="","1,0",VLOOKUP($B$7,Všechny_obce_koeficienty!$D$2:$U$1045,18,FALSE))</f>
        <v>2</v>
      </c>
      <c r="G29" s="126">
        <f>VLOOKUP($B$7,Obce_vynos!B3:AB1045,18,FALSE)+VLOOKUP($B$7,Obce_vynos!B3:AB1045,26,FALSE)</f>
        <v>272968</v>
      </c>
      <c r="H29" s="40"/>
      <c r="I29" s="120">
        <v>1.4</v>
      </c>
      <c r="J29" s="131" t="str">
        <f t="shared" si="1"/>
        <v>2</v>
      </c>
      <c r="K29" s="131" t="str">
        <f t="shared" si="2"/>
        <v/>
      </c>
      <c r="L29" s="134"/>
      <c r="M29" s="176"/>
      <c r="N29" s="108">
        <f>IF(R29=0,G29/D29*I29/F29,G29/D29*I29/F29*R29)*$L$13</f>
        <v>272968</v>
      </c>
      <c r="O29" s="133">
        <f>N29-G29</f>
        <v>0</v>
      </c>
      <c r="P29" s="95" t="str">
        <f>IF(HELP!AF40="ANO","","!!!")</f>
        <v/>
      </c>
      <c r="Q29" s="94" t="str">
        <f>IF(HELP!AF40="ANO","","POZOR! Koeficient pro skupinu NV musí být na všech KÚ shodný!")</f>
        <v/>
      </c>
      <c r="R29" s="135" t="str">
        <f t="shared" si="3"/>
        <v>2</v>
      </c>
      <c r="S29" s="117">
        <f>IF(O5&lt;=1000,Koef!I11,IF(O5&lt;=6000,Koef!J12,IF(O5&lt;=10000,Koef!K13,IF(O5&lt;=25000,Koef!L14,IF(O5&lt;=50000,Koef!L15,Koef!L16)))))</f>
        <v>1.4</v>
      </c>
      <c r="T29" s="117">
        <f>IF(S29&gt;=D29,S29,D29)</f>
        <v>1.4</v>
      </c>
      <c r="U29" s="117"/>
      <c r="V29" s="37"/>
      <c r="W29" s="37"/>
      <c r="X29" s="37"/>
    </row>
    <row r="30" spans="1:27" ht="15" customHeight="1" x14ac:dyDescent="0.25">
      <c r="A30" s="155" t="s">
        <v>76</v>
      </c>
      <c r="B30" s="46">
        <v>11</v>
      </c>
      <c r="C30" s="40"/>
      <c r="D30" s="236" t="s">
        <v>16</v>
      </c>
      <c r="E30" s="151">
        <f>IF(VLOOKUP($B$7,Všechny_obce_koeficienty!$D$2:$U$1045,6,FALSE)=1.5,1.5,IF(VLOOKUP($B$7,Všechny_obce_koeficienty!$D$2:$U$1045,6,FALSE)=3,1.5,1))</f>
        <v>1.5</v>
      </c>
      <c r="F30" s="151" t="str">
        <f>IF(VLOOKUP($B$7,Všechny_obce_koeficienty!$D$2:$U$1045,18,FALSE)="","1,0",VLOOKUP($B$7,Všechny_obce_koeficienty!$D$2:$U$1045,18,FALSE))</f>
        <v>2</v>
      </c>
      <c r="G30" s="245">
        <f>VLOOKUP($B$7,Obce_vynos!B3:AB1045,10,FALSE)+VLOOKUP($B$7,Obce_vynos!B3:AB1045,11,FALSE)</f>
        <v>101280</v>
      </c>
      <c r="H30" s="40"/>
      <c r="I30" s="149" t="s">
        <v>16</v>
      </c>
      <c r="J30" s="151" t="str">
        <f t="shared" si="1"/>
        <v>2</v>
      </c>
      <c r="K30" s="151" t="str">
        <f t="shared" si="2"/>
        <v/>
      </c>
      <c r="L30" s="172">
        <v>5</v>
      </c>
      <c r="M30" s="176"/>
      <c r="N30" s="160">
        <f>IF(R30=0,G30/F30/E30,G30/F30/E30*R30)*$L$13</f>
        <v>168800</v>
      </c>
      <c r="O30" s="162">
        <f>N30-G30</f>
        <v>67520</v>
      </c>
      <c r="P30" s="153" t="str">
        <f>IF(HELP!AF43="ANO","","!!!")</f>
        <v/>
      </c>
      <c r="Q30" s="154" t="str">
        <f>IF(HELP!AF43="ANO","","POZOR! Koeficient pro skupinu NV musí být na všech KÚ shodný!")</f>
        <v/>
      </c>
      <c r="R30" s="164">
        <f t="shared" si="3"/>
        <v>5</v>
      </c>
      <c r="S30" s="97"/>
      <c r="T30" s="117"/>
      <c r="U30" s="97"/>
      <c r="V30" s="100"/>
      <c r="W30" s="100"/>
      <c r="X30" s="100"/>
    </row>
    <row r="31" spans="1:27" ht="15" customHeight="1" x14ac:dyDescent="0.25">
      <c r="A31" s="156"/>
      <c r="B31" s="65">
        <v>3.5</v>
      </c>
      <c r="C31" s="40"/>
      <c r="D31" s="237"/>
      <c r="E31" s="152"/>
      <c r="F31" s="152"/>
      <c r="G31" s="246"/>
      <c r="H31" s="40"/>
      <c r="I31" s="150"/>
      <c r="J31" s="152"/>
      <c r="K31" s="152"/>
      <c r="L31" s="173"/>
      <c r="M31" s="176"/>
      <c r="N31" s="161"/>
      <c r="O31" s="163"/>
      <c r="P31" s="153"/>
      <c r="Q31" s="154"/>
      <c r="R31" s="164"/>
      <c r="S31" s="97"/>
      <c r="T31" s="97"/>
      <c r="U31" s="97"/>
      <c r="V31" s="100"/>
      <c r="W31" s="100"/>
      <c r="X31" s="100"/>
    </row>
    <row r="32" spans="1:27" ht="15.75" customHeight="1" x14ac:dyDescent="0.25">
      <c r="A32" s="155" t="s">
        <v>103</v>
      </c>
      <c r="B32" s="247">
        <v>14.5</v>
      </c>
      <c r="C32" s="66"/>
      <c r="D32" s="157" t="s">
        <v>16</v>
      </c>
      <c r="E32" s="131">
        <f>IF(VLOOKUP($B$7,Všechny_obce_koeficienty!$D$2:$U$1045,8,FALSE)="","1,0",VLOOKUP($B$7,Všechny_obce_koeficienty!$D$2:$U$1045,8,FALSE))</f>
        <v>1.5</v>
      </c>
      <c r="F32" s="151" t="str">
        <f>IF(VLOOKUP($B$7,Všechny_obce_koeficienty!$D$2:$U$1045,18,FALSE)="","1,0",VLOOKUP($B$7,Všechny_obce_koeficienty!$D$2:$U$1045,18,FALSE))</f>
        <v>2</v>
      </c>
      <c r="G32" s="126">
        <f>VLOOKUP($B$7,Obce_vynos!B3:AB1045,12,FALSE)</f>
        <v>298710</v>
      </c>
      <c r="H32" s="67"/>
      <c r="I32" s="149" t="s">
        <v>16</v>
      </c>
      <c r="J32" s="151" t="str">
        <f t="shared" si="1"/>
        <v>2</v>
      </c>
      <c r="K32" s="151" t="str">
        <f t="shared" si="2"/>
        <v/>
      </c>
      <c r="L32" s="172">
        <v>3</v>
      </c>
      <c r="M32" s="176"/>
      <c r="N32" s="160">
        <f>(IF(R32=0,G32/F32/E32,G32/F32/E32*R32)*$L$13)+(IF(R32=0,G33/F32/E33,G33/F32/E33*R32)*$L$13)</f>
        <v>298710</v>
      </c>
      <c r="O32" s="162">
        <f>N32-G32-G33</f>
        <v>0</v>
      </c>
      <c r="P32" s="153" t="str">
        <f>IF(HELP!AF46="ANO","","!!!")</f>
        <v/>
      </c>
      <c r="Q32" s="154" t="str">
        <f>IF(HELP!AF46="ANO","","POZOR! Koeficient pro skupinu NV musí být na všech KÚ shodný!")</f>
        <v/>
      </c>
      <c r="R32" s="159">
        <f>IF(IF(L32&gt;=$K$7,L32,IF(L32="",$K$7,IF($K$7="",$J$7,$K$7)))=0,$J$7,IF(L32&gt;=$K$7,L32,IF(L32="",$K$7,IF($K$7="",$J$7,$K$7))))</f>
        <v>3</v>
      </c>
      <c r="S32" s="96"/>
      <c r="T32" s="96"/>
      <c r="U32" s="98"/>
      <c r="V32" s="101"/>
      <c r="W32" s="101"/>
      <c r="X32" s="37"/>
      <c r="Y32" s="35"/>
      <c r="Z32" s="35"/>
      <c r="AA32" s="35"/>
    </row>
    <row r="33" spans="1:27" ht="15.75" x14ac:dyDescent="0.25">
      <c r="A33" s="156"/>
      <c r="B33" s="248"/>
      <c r="C33" s="40"/>
      <c r="D33" s="158"/>
      <c r="E33" s="131" t="str">
        <f>IF(VLOOKUP($B$7,Všechny_obce_koeficienty!$D$2:$U$1045,16,FALSE)="","1,0",VLOOKUP($B$7,Všechny_obce_koeficienty!$D$2:$U$1045,16,FALSE))</f>
        <v>1,0</v>
      </c>
      <c r="F33" s="152"/>
      <c r="G33" s="126">
        <f>VLOOKUP($B$7,Obce_vynos!B3:AB1045,22,FALSE)</f>
        <v>0</v>
      </c>
      <c r="H33" s="40"/>
      <c r="I33" s="150"/>
      <c r="J33" s="152"/>
      <c r="K33" s="152"/>
      <c r="L33" s="173"/>
      <c r="M33" s="176"/>
      <c r="N33" s="161"/>
      <c r="O33" s="163"/>
      <c r="P33" s="153"/>
      <c r="Q33" s="154"/>
      <c r="R33" s="159"/>
      <c r="S33" s="96"/>
      <c r="T33" s="96"/>
      <c r="U33" s="98"/>
      <c r="V33" s="101"/>
      <c r="W33" s="101"/>
      <c r="X33" s="37"/>
      <c r="Y33" s="35"/>
      <c r="Z33" s="35"/>
      <c r="AA33" s="35"/>
    </row>
    <row r="34" spans="1:27" ht="15.75" customHeight="1" x14ac:dyDescent="0.25">
      <c r="A34" s="155" t="s">
        <v>104</v>
      </c>
      <c r="B34" s="247">
        <v>3.5</v>
      </c>
      <c r="C34" s="40"/>
      <c r="D34" s="157" t="s">
        <v>16</v>
      </c>
      <c r="E34" s="131">
        <f>IF(VLOOKUP($B$7,Všechny_obce_koeficienty!$D$2:$U$1045,9,FALSE)="","1,0",VLOOKUP($B$7,Všechny_obce_koeficienty!$D$2:$U$1045,9,FALSE))</f>
        <v>1.5</v>
      </c>
      <c r="F34" s="151" t="str">
        <f>IF(VLOOKUP($B$7,Všechny_obce_koeficienty!$D$2:$U$1045,18,FALSE)="","1,0",VLOOKUP($B$7,Všechny_obce_koeficienty!$D$2:$U$1045,18,FALSE))</f>
        <v>2</v>
      </c>
      <c r="G34" s="126">
        <f>VLOOKUP($B$7,Obce_vynos!B3:AB1045,13,FALSE)</f>
        <v>41958</v>
      </c>
      <c r="H34" s="40"/>
      <c r="I34" s="149" t="s">
        <v>16</v>
      </c>
      <c r="J34" s="151" t="str">
        <f t="shared" si="1"/>
        <v>2</v>
      </c>
      <c r="K34" s="151" t="str">
        <f t="shared" si="2"/>
        <v/>
      </c>
      <c r="L34" s="172">
        <v>3</v>
      </c>
      <c r="M34" s="176"/>
      <c r="N34" s="160">
        <f>IF(R34=0,G34/F34/E34,G34/F34/E34*R34)*$L$13+IF(R34=0,G35/F34/E35,G35/F34/E35*R34)*$L$13</f>
        <v>41958</v>
      </c>
      <c r="O34" s="162">
        <f>N34-G34-G35</f>
        <v>0</v>
      </c>
      <c r="P34" s="153" t="str">
        <f>IF(HELP!AF49="ANO","","!!!")</f>
        <v/>
      </c>
      <c r="Q34" s="154" t="str">
        <f>IF(HELP!AF49="ANO","","POZOR! Koeficient pro skupinu NV musí být na všech KÚ shodný!")</f>
        <v/>
      </c>
      <c r="R34" s="164">
        <f t="shared" si="3"/>
        <v>3</v>
      </c>
      <c r="S34" s="96"/>
      <c r="T34" s="96"/>
      <c r="U34" s="96"/>
      <c r="V34" s="37"/>
      <c r="W34" s="37"/>
      <c r="X34" s="37"/>
    </row>
    <row r="35" spans="1:27" ht="15.75" customHeight="1" x14ac:dyDescent="0.25">
      <c r="A35" s="156"/>
      <c r="B35" s="248"/>
      <c r="C35" s="40"/>
      <c r="D35" s="158"/>
      <c r="E35" s="131" t="str">
        <f>IF(VLOOKUP($B$7,Všechny_obce_koeficienty!$D$2:$U$1045,13,FALSE)="","1,0",VLOOKUP($B$7,Všechny_obce_koeficienty!$D$2:$U$1045,13,FALSE))</f>
        <v>1,0</v>
      </c>
      <c r="F35" s="152"/>
      <c r="G35" s="126">
        <f>VLOOKUP($B$7,Obce_vynos!B3:AB1045,19,FALSE)</f>
        <v>0</v>
      </c>
      <c r="H35" s="40"/>
      <c r="I35" s="150"/>
      <c r="J35" s="152"/>
      <c r="K35" s="152"/>
      <c r="L35" s="173"/>
      <c r="M35" s="176"/>
      <c r="N35" s="161"/>
      <c r="O35" s="163"/>
      <c r="P35" s="153"/>
      <c r="Q35" s="154"/>
      <c r="R35" s="164"/>
      <c r="S35" s="96"/>
      <c r="T35" s="96"/>
      <c r="U35" s="96"/>
      <c r="V35" s="37"/>
      <c r="W35" s="37"/>
      <c r="X35" s="37"/>
    </row>
    <row r="36" spans="1:27" ht="15.75" customHeight="1" x14ac:dyDescent="0.25">
      <c r="A36" s="155" t="s">
        <v>105</v>
      </c>
      <c r="B36" s="247">
        <v>18</v>
      </c>
      <c r="C36" s="40"/>
      <c r="D36" s="157" t="s">
        <v>16</v>
      </c>
      <c r="E36" s="131">
        <f>IF(VLOOKUP($B$7,Všechny_obce_koeficienty!$D$2:$U$1045,10,FALSE)="","1,0",VLOOKUP($B$7,Všechny_obce_koeficienty!$D$2:$U$1045,10,FALSE))</f>
        <v>1.5</v>
      </c>
      <c r="F36" s="151" t="str">
        <f>IF(VLOOKUP($B$7,Všechny_obce_koeficienty!$D$2:$U$1045,18,FALSE)="","1,0",VLOOKUP($B$7,Všechny_obce_koeficienty!$D$2:$U$1045,18,FALSE))</f>
        <v>2</v>
      </c>
      <c r="G36" s="126">
        <f>VLOOKUP($B$7,Obce_vynos!B3:AB1045,14,FALSE)</f>
        <v>769986</v>
      </c>
      <c r="H36" s="40"/>
      <c r="I36" s="149" t="s">
        <v>16</v>
      </c>
      <c r="J36" s="151" t="str">
        <f t="shared" si="1"/>
        <v>2</v>
      </c>
      <c r="K36" s="151" t="str">
        <f t="shared" si="2"/>
        <v/>
      </c>
      <c r="L36" s="172">
        <v>3</v>
      </c>
      <c r="M36" s="176"/>
      <c r="N36" s="160">
        <f>IF(R36=0,G36/F36/E36,G36/F36/E36*R36)*$L$13+IF(R36=0,G37/F36/E37,G37/F36/E37*R36)*$L$13</f>
        <v>769986</v>
      </c>
      <c r="O36" s="162">
        <f>N36-G36-G37</f>
        <v>0</v>
      </c>
      <c r="P36" s="153" t="str">
        <f>IF(HELP!AF52="ANO","","!!!")</f>
        <v/>
      </c>
      <c r="Q36" s="154" t="str">
        <f>IF(HELP!AF52="ANO","","POZOR! Koeficient pro skupinu NV musí být na všech KÚ shodný!")</f>
        <v/>
      </c>
      <c r="R36" s="164">
        <f t="shared" si="3"/>
        <v>3</v>
      </c>
      <c r="S36" s="96"/>
      <c r="T36" s="96"/>
      <c r="U36" s="96"/>
      <c r="V36" s="37"/>
      <c r="W36" s="37"/>
      <c r="X36" s="37"/>
    </row>
    <row r="37" spans="1:27" ht="15.75" customHeight="1" x14ac:dyDescent="0.25">
      <c r="A37" s="156"/>
      <c r="B37" s="248"/>
      <c r="C37" s="40"/>
      <c r="D37" s="158"/>
      <c r="E37" s="131" t="str">
        <f>IF(VLOOKUP($B$7,Všechny_obce_koeficienty!$D$2:$U$1045,14,FALSE)="","1,0",VLOOKUP($B$7,Všechny_obce_koeficienty!$D$2:$U$1045,14,FALSE))</f>
        <v>1,0</v>
      </c>
      <c r="F37" s="152"/>
      <c r="G37" s="126">
        <f>VLOOKUP($B$7,Obce_vynos!B3:AB1045,20,FALSE)</f>
        <v>0</v>
      </c>
      <c r="H37" s="40"/>
      <c r="I37" s="150"/>
      <c r="J37" s="152"/>
      <c r="K37" s="152"/>
      <c r="L37" s="173"/>
      <c r="M37" s="176"/>
      <c r="N37" s="161"/>
      <c r="O37" s="163"/>
      <c r="P37" s="153"/>
      <c r="Q37" s="154"/>
      <c r="R37" s="164"/>
      <c r="S37" s="96"/>
      <c r="T37" s="96"/>
      <c r="U37" s="96"/>
      <c r="V37" s="37"/>
      <c r="W37" s="37"/>
      <c r="X37" s="37"/>
    </row>
    <row r="38" spans="1:27" ht="15.75" customHeight="1" x14ac:dyDescent="0.25">
      <c r="A38" s="155" t="s">
        <v>106</v>
      </c>
      <c r="B38" s="247">
        <v>18</v>
      </c>
      <c r="C38" s="40"/>
      <c r="D38" s="157" t="s">
        <v>16</v>
      </c>
      <c r="E38" s="131">
        <f>IF(VLOOKUP($B$7,Všechny_obce_koeficienty!$D$2:$U$1045,11,FALSE)="","1,0",VLOOKUP($B$7,Všechny_obce_koeficienty!$D$2:$U$1045,11,FALSE))</f>
        <v>1.5</v>
      </c>
      <c r="F38" s="151" t="str">
        <f>IF(VLOOKUP($B$7,Všechny_obce_koeficienty!$D$2:$U$1045,18,FALSE)="","1,0",VLOOKUP($B$7,Všechny_obce_koeficienty!$D$2:$U$1045,18,FALSE))</f>
        <v>2</v>
      </c>
      <c r="G38" s="126">
        <f>VLOOKUP($B$7,Obce_vynos!B3:AB1045,15,FALSE)</f>
        <v>1461712</v>
      </c>
      <c r="H38" s="40"/>
      <c r="I38" s="149" t="s">
        <v>16</v>
      </c>
      <c r="J38" s="151" t="str">
        <f t="shared" si="1"/>
        <v>2</v>
      </c>
      <c r="K38" s="151" t="str">
        <f t="shared" si="2"/>
        <v/>
      </c>
      <c r="L38" s="172">
        <v>3</v>
      </c>
      <c r="M38" s="176"/>
      <c r="N38" s="160">
        <f>IF(R38=0,G38/F38/E38,G38/F38/E38*R38)*$L$13+IF(R38=0,G39/F38/E39,G39/F38/E39*R38)*$L$13</f>
        <v>1461712</v>
      </c>
      <c r="O38" s="162">
        <f>N38-G38-G39</f>
        <v>0</v>
      </c>
      <c r="P38" s="153" t="str">
        <f>IF(HELP!AF55="ANO","","!!!")</f>
        <v/>
      </c>
      <c r="Q38" s="154" t="str">
        <f>IF(HELP!AF55="ANO","","POZOR! Koeficient pro skupinu NV musí být na všech KÚ shodný!")</f>
        <v/>
      </c>
      <c r="R38" s="165">
        <f>IF(IF(L38&gt;=$K$7,L38,IF(L38="",$K$7,IF($K$7="",$J$7,$K$7)))=0,$J$7,IF(L38&gt;=$K$7,L38,IF(L38="",$K$7,IF($K$7="",$J$7,$K$7))))</f>
        <v>3</v>
      </c>
      <c r="S38" s="96"/>
      <c r="T38" s="96"/>
      <c r="U38" s="96"/>
      <c r="V38" s="37"/>
      <c r="W38" s="37"/>
      <c r="X38" s="37"/>
    </row>
    <row r="39" spans="1:27" ht="15.75" x14ac:dyDescent="0.25">
      <c r="A39" s="156"/>
      <c r="B39" s="248"/>
      <c r="C39" s="40"/>
      <c r="D39" s="158"/>
      <c r="E39" s="132">
        <f>IF(VLOOKUP($B$7,Všechny_obce_koeficienty!$D$2:$U$1045,15,FALSE)="","1,0",VLOOKUP($B$7,Všechny_obce_koeficienty!$D$2:$U$1045,15,FALSE))</f>
        <v>1.5</v>
      </c>
      <c r="F39" s="152"/>
      <c r="G39" s="116">
        <f>VLOOKUP($B$7,Obce_vynos!B3:AB1045,21,FALSE)</f>
        <v>0</v>
      </c>
      <c r="H39" s="40"/>
      <c r="I39" s="150"/>
      <c r="J39" s="152"/>
      <c r="K39" s="152"/>
      <c r="L39" s="173"/>
      <c r="M39" s="176"/>
      <c r="N39" s="161"/>
      <c r="O39" s="163"/>
      <c r="P39" s="153"/>
      <c r="Q39" s="154"/>
      <c r="R39" s="165"/>
      <c r="S39" s="96"/>
      <c r="T39" s="96"/>
      <c r="U39" s="96"/>
      <c r="V39" s="37"/>
      <c r="W39" s="37"/>
      <c r="X39" s="37"/>
    </row>
    <row r="40" spans="1:27" ht="15" customHeight="1" thickBot="1" x14ac:dyDescent="0.3">
      <c r="A40" s="6" t="s">
        <v>11</v>
      </c>
      <c r="B40" s="49">
        <v>11</v>
      </c>
      <c r="C40" s="40"/>
      <c r="D40" s="50" t="s">
        <v>16</v>
      </c>
      <c r="E40" s="68" t="s">
        <v>16</v>
      </c>
      <c r="F40" s="52" t="str">
        <f>IF(VLOOKUP($B$7,Všechny_obce_koeficienty!$D$2:$U$1045,18,FALSE)="","1,0",VLOOKUP($B$7,Všechny_obce_koeficienty!$D$2:$U$1045,18,FALSE))</f>
        <v>2</v>
      </c>
      <c r="G40" s="127">
        <f>VLOOKUP($B$7,Obce_vynos!B3:AB1045,16,FALSE)</f>
        <v>79454</v>
      </c>
      <c r="H40" s="40"/>
      <c r="I40" s="69" t="s">
        <v>16</v>
      </c>
      <c r="J40" s="52" t="str">
        <f t="shared" si="1"/>
        <v>2</v>
      </c>
      <c r="K40" s="52" t="str">
        <f t="shared" si="2"/>
        <v/>
      </c>
      <c r="L40" s="124"/>
      <c r="M40" s="176"/>
      <c r="N40" s="109">
        <f>IF(R40=0,G40/F40,G40/F40*R40)*$L$13</f>
        <v>79454</v>
      </c>
      <c r="O40" s="110">
        <f>N40-G40</f>
        <v>0</v>
      </c>
      <c r="P40" s="95" t="str">
        <f>IF(HELP!AF58="ANO","","!!!")</f>
        <v/>
      </c>
      <c r="Q40" s="94" t="str">
        <f>IF(HELP!AF58="ANO","","POZOR! Koeficient pro skupinu NV musí být na všech KÚ shodný!")</f>
        <v/>
      </c>
      <c r="R40" s="135" t="str">
        <f t="shared" si="3"/>
        <v>2</v>
      </c>
      <c r="S40" s="96"/>
      <c r="T40" s="96"/>
      <c r="U40" s="96"/>
      <c r="V40" s="37"/>
      <c r="W40" s="37"/>
      <c r="X40" s="37"/>
    </row>
    <row r="41" spans="1:27" ht="15.75" thickBot="1" x14ac:dyDescent="0.3">
      <c r="A41" s="3"/>
      <c r="G41" s="8"/>
      <c r="I41" s="235"/>
      <c r="J41" s="235"/>
      <c r="K41" s="235"/>
      <c r="L41" s="235"/>
      <c r="M41" s="235"/>
      <c r="N41" s="235"/>
      <c r="O41" s="235"/>
      <c r="R41" s="37"/>
      <c r="S41" s="37"/>
      <c r="T41" s="37"/>
      <c r="U41" s="37"/>
      <c r="V41" s="37"/>
      <c r="W41" s="37"/>
      <c r="X41" s="37"/>
    </row>
    <row r="42" spans="1:27" ht="20.25" thickBot="1" x14ac:dyDescent="0.35">
      <c r="A42" s="243" t="s">
        <v>12</v>
      </c>
      <c r="B42" s="244"/>
      <c r="C42" s="75"/>
      <c r="D42" s="75"/>
      <c r="E42" s="75"/>
      <c r="F42" s="75"/>
      <c r="G42" s="76">
        <f>SUM(G17:G26)+SUM(G28:G40)</f>
        <v>4822690</v>
      </c>
      <c r="H42" s="75"/>
      <c r="I42" s="75"/>
      <c r="J42" s="75"/>
      <c r="K42" s="75"/>
      <c r="L42" s="75"/>
      <c r="M42" s="75"/>
      <c r="N42" s="113">
        <f>N17+N18+N19+N20+N21+N22+N23+N24+N25+N26+N28+N29+N30+N32+N34+N36+N38+N40</f>
        <v>4890210</v>
      </c>
      <c r="O42" s="114">
        <f>N42-G42</f>
        <v>67520</v>
      </c>
      <c r="R42" s="37"/>
      <c r="S42" s="37"/>
      <c r="T42" s="37"/>
      <c r="U42" s="37"/>
      <c r="V42" s="37"/>
      <c r="W42" s="37"/>
      <c r="X42" s="37"/>
    </row>
    <row r="43" spans="1:27" x14ac:dyDescent="0.25">
      <c r="R43" s="37"/>
      <c r="S43" s="37"/>
      <c r="T43" s="37"/>
      <c r="U43" s="37"/>
      <c r="V43" s="37"/>
      <c r="W43" s="37"/>
      <c r="X43" s="37"/>
    </row>
    <row r="44" spans="1:27" x14ac:dyDescent="0.25">
      <c r="R44" s="37"/>
      <c r="S44" s="37"/>
      <c r="T44" s="37"/>
      <c r="U44" s="37"/>
      <c r="V44" s="37"/>
      <c r="W44" s="37"/>
      <c r="X44" s="37"/>
    </row>
    <row r="45" spans="1:27" ht="18.75" x14ac:dyDescent="0.25">
      <c r="A45" s="233" t="s">
        <v>13</v>
      </c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R45" s="37"/>
      <c r="S45" s="37"/>
      <c r="T45" s="37"/>
      <c r="U45" s="37"/>
      <c r="V45" s="37"/>
      <c r="W45" s="37"/>
      <c r="X45" s="37"/>
    </row>
    <row r="46" spans="1:27" ht="5.0999999999999996" customHeight="1" thickBot="1" x14ac:dyDescent="0.3">
      <c r="R46" s="37"/>
      <c r="S46" s="37"/>
      <c r="T46" s="37"/>
      <c r="U46" s="37"/>
      <c r="V46" s="37"/>
      <c r="W46" s="37"/>
      <c r="X46" s="37"/>
    </row>
    <row r="47" spans="1:27" ht="56.25" customHeight="1" x14ac:dyDescent="0.25">
      <c r="A47" s="264" t="s">
        <v>15</v>
      </c>
      <c r="B47" s="265"/>
      <c r="C47" s="40"/>
      <c r="D47" s="268" t="s">
        <v>21</v>
      </c>
      <c r="E47" s="269"/>
      <c r="F47" s="269"/>
      <c r="G47" s="270"/>
      <c r="H47" s="77"/>
      <c r="I47" s="177" t="s">
        <v>83</v>
      </c>
      <c r="J47" s="178"/>
      <c r="K47" s="178" t="s">
        <v>20</v>
      </c>
      <c r="L47" s="206"/>
      <c r="M47" s="78"/>
      <c r="N47" s="86" t="s">
        <v>86</v>
      </c>
      <c r="O47" s="258" t="s">
        <v>20</v>
      </c>
      <c r="P47" s="2"/>
      <c r="R47" s="37"/>
      <c r="S47" s="37"/>
      <c r="T47" s="37"/>
      <c r="U47" s="37"/>
      <c r="V47" s="37"/>
    </row>
    <row r="48" spans="1:27" ht="35.25" customHeight="1" thickBot="1" x14ac:dyDescent="0.3">
      <c r="A48" s="266"/>
      <c r="B48" s="267"/>
      <c r="C48" s="40"/>
      <c r="D48" s="261" t="str">
        <f>Koef!B3</f>
        <v>Zdaňovací období roku 2024</v>
      </c>
      <c r="E48" s="262"/>
      <c r="F48" s="262"/>
      <c r="G48" s="263"/>
      <c r="H48" s="77"/>
      <c r="I48" s="179" t="s">
        <v>72</v>
      </c>
      <c r="J48" s="180"/>
      <c r="K48" s="180"/>
      <c r="L48" s="223"/>
      <c r="M48" s="79"/>
      <c r="N48" s="80" t="s">
        <v>72</v>
      </c>
      <c r="O48" s="259"/>
      <c r="P48" s="2"/>
      <c r="R48" s="96"/>
      <c r="S48" s="96"/>
      <c r="T48" s="96"/>
      <c r="U48" s="96"/>
    </row>
    <row r="49" spans="1:21" ht="18" thickTop="1" x14ac:dyDescent="0.25">
      <c r="A49" s="186" t="s">
        <v>88</v>
      </c>
      <c r="B49" s="187"/>
      <c r="C49" s="40"/>
      <c r="D49" s="249">
        <f>150*B28*D28*F28</f>
        <v>1470</v>
      </c>
      <c r="E49" s="250"/>
      <c r="F49" s="250"/>
      <c r="G49" s="251"/>
      <c r="H49" s="40"/>
      <c r="I49" s="260">
        <f>150*B28*T28*F28</f>
        <v>1470</v>
      </c>
      <c r="J49" s="256"/>
      <c r="K49" s="256">
        <f>I49-D49</f>
        <v>0</v>
      </c>
      <c r="L49" s="257"/>
      <c r="M49" s="81"/>
      <c r="N49" s="93">
        <f>IF(R28=0,150*B28*I28*F28,150*B28*I28*R28)</f>
        <v>1470</v>
      </c>
      <c r="O49" s="82">
        <f t="shared" ref="O49:O57" si="4">N49-D49</f>
        <v>0</v>
      </c>
      <c r="R49" s="96"/>
      <c r="S49" s="96"/>
      <c r="T49" s="96"/>
      <c r="U49" s="96"/>
    </row>
    <row r="50" spans="1:21" ht="17.25" x14ac:dyDescent="0.25">
      <c r="A50" s="181" t="s">
        <v>89</v>
      </c>
      <c r="B50" s="182"/>
      <c r="C50" s="40"/>
      <c r="D50" s="183">
        <f>60*1.22*B29*D29*F29</f>
        <v>717.3599999999999</v>
      </c>
      <c r="E50" s="184"/>
      <c r="F50" s="184"/>
      <c r="G50" s="185"/>
      <c r="H50" s="40"/>
      <c r="I50" s="224">
        <f>60*1.22*B29*T29*F29</f>
        <v>717.3599999999999</v>
      </c>
      <c r="J50" s="225"/>
      <c r="K50" s="225">
        <f t="shared" ref="K50:K57" si="5">I50-D50</f>
        <v>0</v>
      </c>
      <c r="L50" s="254"/>
      <c r="M50" s="83"/>
      <c r="N50" s="91">
        <f>IF(R29=0,60*1.22*B29*I29*F29,60*1.22*B29*I29*R29)</f>
        <v>717.3599999999999</v>
      </c>
      <c r="O50" s="84">
        <f t="shared" si="4"/>
        <v>0</v>
      </c>
      <c r="S50" s="37"/>
      <c r="T50" s="37"/>
      <c r="U50" s="37"/>
    </row>
    <row r="51" spans="1:21" ht="17.25" x14ac:dyDescent="0.25">
      <c r="A51" s="181" t="s">
        <v>90</v>
      </c>
      <c r="B51" s="182"/>
      <c r="C51" s="40"/>
      <c r="D51" s="183">
        <f>1000*B17</f>
        <v>47.52</v>
      </c>
      <c r="E51" s="184"/>
      <c r="F51" s="184"/>
      <c r="G51" s="185">
        <f>1000*B17</f>
        <v>47.52</v>
      </c>
      <c r="H51" s="40"/>
      <c r="I51" s="224">
        <f>1000*B17</f>
        <v>47.52</v>
      </c>
      <c r="J51" s="225"/>
      <c r="K51" s="225">
        <f t="shared" si="5"/>
        <v>0</v>
      </c>
      <c r="L51" s="254"/>
      <c r="M51" s="83"/>
      <c r="N51" s="91">
        <f>IF(L17="",1000*B17*J17,1000*B17*L17)</f>
        <v>47.52</v>
      </c>
      <c r="O51" s="84">
        <f t="shared" si="4"/>
        <v>0</v>
      </c>
      <c r="S51" s="37"/>
      <c r="T51" s="37"/>
      <c r="U51" s="37"/>
    </row>
    <row r="52" spans="1:21" ht="15.75" x14ac:dyDescent="0.25">
      <c r="A52" s="228" t="s">
        <v>73</v>
      </c>
      <c r="B52" s="229"/>
      <c r="C52" s="40"/>
      <c r="D52" s="183">
        <f>10000*B17</f>
        <v>475.2</v>
      </c>
      <c r="E52" s="184"/>
      <c r="F52" s="184"/>
      <c r="G52" s="185">
        <f>1000*B18</f>
        <v>15.84</v>
      </c>
      <c r="H52" s="40"/>
      <c r="I52" s="224">
        <f>10000*B17</f>
        <v>475.2</v>
      </c>
      <c r="J52" s="225"/>
      <c r="K52" s="225">
        <f t="shared" si="5"/>
        <v>0</v>
      </c>
      <c r="L52" s="254"/>
      <c r="M52" s="83"/>
      <c r="N52" s="91">
        <f>IF(L17="",10000*B17*J17,10000*B17*L17)</f>
        <v>475.2</v>
      </c>
      <c r="O52" s="84">
        <f t="shared" si="4"/>
        <v>0</v>
      </c>
      <c r="S52" s="37"/>
      <c r="T52" s="37"/>
      <c r="U52" s="37"/>
    </row>
    <row r="53" spans="1:21" ht="17.25" x14ac:dyDescent="0.25">
      <c r="A53" s="181" t="s">
        <v>91</v>
      </c>
      <c r="B53" s="182"/>
      <c r="C53" s="40"/>
      <c r="D53" s="183">
        <f>20*B32*E32*F32</f>
        <v>870</v>
      </c>
      <c r="E53" s="184"/>
      <c r="F53" s="184"/>
      <c r="G53" s="185" t="e">
        <f>20*B32*D32*#REF!</f>
        <v>#VALUE!</v>
      </c>
      <c r="H53" s="40"/>
      <c r="I53" s="224">
        <f>20*B32*F32</f>
        <v>580</v>
      </c>
      <c r="J53" s="225"/>
      <c r="K53" s="225">
        <f t="shared" si="5"/>
        <v>-290</v>
      </c>
      <c r="L53" s="254"/>
      <c r="M53" s="83"/>
      <c r="N53" s="91">
        <f>IF(R32=0,20*B32*F32,20*B32*R32)</f>
        <v>870</v>
      </c>
      <c r="O53" s="84">
        <f t="shared" si="4"/>
        <v>0</v>
      </c>
      <c r="S53" s="37"/>
      <c r="T53" s="37"/>
      <c r="U53" s="37"/>
    </row>
    <row r="54" spans="1:21" ht="17.25" x14ac:dyDescent="0.25">
      <c r="A54" s="181" t="s">
        <v>92</v>
      </c>
      <c r="B54" s="182"/>
      <c r="C54" s="40"/>
      <c r="D54" s="183">
        <f>50*B30*E30*F30</f>
        <v>1650</v>
      </c>
      <c r="E54" s="184"/>
      <c r="F54" s="184"/>
      <c r="G54" s="185" t="e">
        <f>20*B34*D34*#REF!</f>
        <v>#VALUE!</v>
      </c>
      <c r="H54" s="40"/>
      <c r="I54" s="224">
        <f>50*B30*F30</f>
        <v>1100</v>
      </c>
      <c r="J54" s="225"/>
      <c r="K54" s="225">
        <f t="shared" si="5"/>
        <v>-550</v>
      </c>
      <c r="L54" s="254"/>
      <c r="M54" s="83"/>
      <c r="N54" s="91">
        <f>IF(R30=0,50*B30*F30,50*B30*R30)</f>
        <v>2750</v>
      </c>
      <c r="O54" s="84">
        <f t="shared" si="4"/>
        <v>1100</v>
      </c>
      <c r="S54" s="37"/>
      <c r="T54" s="37"/>
      <c r="U54" s="37"/>
    </row>
    <row r="55" spans="1:21" ht="17.25" x14ac:dyDescent="0.25">
      <c r="A55" s="181" t="s">
        <v>93</v>
      </c>
      <c r="B55" s="182"/>
      <c r="C55" s="40"/>
      <c r="D55" s="183">
        <f>200*B34*E34*F34</f>
        <v>2100</v>
      </c>
      <c r="E55" s="184"/>
      <c r="F55" s="184"/>
      <c r="G55" s="185" t="e">
        <f>20*B36*D36*#REF!</f>
        <v>#VALUE!</v>
      </c>
      <c r="H55" s="40"/>
      <c r="I55" s="224">
        <f>200*B34*F34</f>
        <v>1400</v>
      </c>
      <c r="J55" s="225"/>
      <c r="K55" s="225">
        <f t="shared" si="5"/>
        <v>-700</v>
      </c>
      <c r="L55" s="254"/>
      <c r="M55" s="83"/>
      <c r="N55" s="91">
        <f>IF(R34=0,200*B34*F34,200*B34*R34)</f>
        <v>2100</v>
      </c>
      <c r="O55" s="84">
        <f t="shared" si="4"/>
        <v>0</v>
      </c>
      <c r="S55" s="37"/>
      <c r="T55" s="37"/>
      <c r="U55" s="37"/>
    </row>
    <row r="56" spans="1:21" ht="17.25" x14ac:dyDescent="0.25">
      <c r="A56" s="181" t="s">
        <v>94</v>
      </c>
      <c r="B56" s="182"/>
      <c r="C56" s="40"/>
      <c r="D56" s="183">
        <f>200*B36*E36*F36</f>
        <v>10800</v>
      </c>
      <c r="E56" s="184"/>
      <c r="F56" s="184"/>
      <c r="G56" s="185" t="e">
        <f>20*B38*D38*#REF!</f>
        <v>#VALUE!</v>
      </c>
      <c r="H56" s="40"/>
      <c r="I56" s="224">
        <f>200*B36*F36</f>
        <v>7200</v>
      </c>
      <c r="J56" s="225"/>
      <c r="K56" s="225">
        <f t="shared" si="5"/>
        <v>-3600</v>
      </c>
      <c r="L56" s="254"/>
      <c r="M56" s="83"/>
      <c r="N56" s="91">
        <f>IF(R36=0,200*B36*F36,200*B36*R36)</f>
        <v>10800</v>
      </c>
      <c r="O56" s="84">
        <f t="shared" si="4"/>
        <v>0</v>
      </c>
    </row>
    <row r="57" spans="1:21" ht="18" thickBot="1" x14ac:dyDescent="0.3">
      <c r="A57" s="226" t="s">
        <v>95</v>
      </c>
      <c r="B57" s="227"/>
      <c r="C57" s="40"/>
      <c r="D57" s="230">
        <f>200*B38*E38*F38</f>
        <v>10800</v>
      </c>
      <c r="E57" s="231"/>
      <c r="F57" s="231"/>
      <c r="G57" s="232" t="e">
        <f>20*B40*D40*#REF!</f>
        <v>#VALUE!</v>
      </c>
      <c r="H57" s="40"/>
      <c r="I57" s="252">
        <f>200*B38*F38</f>
        <v>7200</v>
      </c>
      <c r="J57" s="253"/>
      <c r="K57" s="253">
        <f t="shared" si="5"/>
        <v>-3600</v>
      </c>
      <c r="L57" s="255"/>
      <c r="M57" s="83"/>
      <c r="N57" s="92">
        <f>IF(R38=0,200*B38*F38,200*B38*R38)</f>
        <v>10800</v>
      </c>
      <c r="O57" s="85">
        <f t="shared" si="4"/>
        <v>0</v>
      </c>
    </row>
  </sheetData>
  <sheetProtection algorithmName="SHA-512" hashValue="dpxMnFSI9ZLcItPEHBHNio7l7qDYwqwzTDGcYWvAj6f5E7pASrjf8lAlOPJaEu3KRgYZOif4p09C/sJyCMdf9Q==" saltValue="jc+RISHdl85uMXk0u9NkcQ==" spinCount="100000" sheet="1" objects="1" scenarios="1"/>
  <dataConsolidate/>
  <mergeCells count="136">
    <mergeCell ref="A1:P1"/>
    <mergeCell ref="A3:P3"/>
    <mergeCell ref="B5:G5"/>
    <mergeCell ref="B7:G7"/>
    <mergeCell ref="A9:P9"/>
    <mergeCell ref="A11:A16"/>
    <mergeCell ref="B11:B16"/>
    <mergeCell ref="D11:G14"/>
    <mergeCell ref="I11:O11"/>
    <mergeCell ref="I12:O12"/>
    <mergeCell ref="I13:K13"/>
    <mergeCell ref="M13:M16"/>
    <mergeCell ref="N13:N16"/>
    <mergeCell ref="O13:O16"/>
    <mergeCell ref="I14:L14"/>
    <mergeCell ref="D15:F15"/>
    <mergeCell ref="G15:G16"/>
    <mergeCell ref="I15:I16"/>
    <mergeCell ref="L15:L16"/>
    <mergeCell ref="J17:K17"/>
    <mergeCell ref="M17:M26"/>
    <mergeCell ref="J18:K18"/>
    <mergeCell ref="J19:K19"/>
    <mergeCell ref="M28:M40"/>
    <mergeCell ref="A30:A31"/>
    <mergeCell ref="D30:D31"/>
    <mergeCell ref="E30:E31"/>
    <mergeCell ref="F30:F31"/>
    <mergeCell ref="G30:G31"/>
    <mergeCell ref="A32:A33"/>
    <mergeCell ref="B32:B33"/>
    <mergeCell ref="D32:D33"/>
    <mergeCell ref="F32:F33"/>
    <mergeCell ref="I32:I33"/>
    <mergeCell ref="J32:J33"/>
    <mergeCell ref="K32:K33"/>
    <mergeCell ref="I30:I31"/>
    <mergeCell ref="J30:J31"/>
    <mergeCell ref="K30:K31"/>
    <mergeCell ref="L32:L33"/>
    <mergeCell ref="N32:N33"/>
    <mergeCell ref="O32:O33"/>
    <mergeCell ref="P32:P33"/>
    <mergeCell ref="Q32:Q33"/>
    <mergeCell ref="R32:R33"/>
    <mergeCell ref="P30:P31"/>
    <mergeCell ref="Q30:Q31"/>
    <mergeCell ref="R30:R31"/>
    <mergeCell ref="L30:L31"/>
    <mergeCell ref="N30:N31"/>
    <mergeCell ref="O30:O31"/>
    <mergeCell ref="R34:R35"/>
    <mergeCell ref="A36:A37"/>
    <mergeCell ref="B36:B37"/>
    <mergeCell ref="D36:D37"/>
    <mergeCell ref="F36:F37"/>
    <mergeCell ref="I36:I37"/>
    <mergeCell ref="J36:J37"/>
    <mergeCell ref="K36:K37"/>
    <mergeCell ref="L36:L37"/>
    <mergeCell ref="N36:N37"/>
    <mergeCell ref="K34:K35"/>
    <mergeCell ref="L34:L35"/>
    <mergeCell ref="N34:N35"/>
    <mergeCell ref="O34:O35"/>
    <mergeCell ref="P34:P35"/>
    <mergeCell ref="Q34:Q35"/>
    <mergeCell ref="A34:A35"/>
    <mergeCell ref="B34:B35"/>
    <mergeCell ref="D34:D35"/>
    <mergeCell ref="F34:F35"/>
    <mergeCell ref="I34:I35"/>
    <mergeCell ref="J34:J35"/>
    <mergeCell ref="O36:O37"/>
    <mergeCell ref="P36:P37"/>
    <mergeCell ref="Q36:Q37"/>
    <mergeCell ref="R36:R37"/>
    <mergeCell ref="A38:A39"/>
    <mergeCell ref="B38:B39"/>
    <mergeCell ref="D38:D39"/>
    <mergeCell ref="F38:F39"/>
    <mergeCell ref="I38:I39"/>
    <mergeCell ref="J38:J39"/>
    <mergeCell ref="R38:R39"/>
    <mergeCell ref="K38:K39"/>
    <mergeCell ref="L38:L39"/>
    <mergeCell ref="N38:N39"/>
    <mergeCell ref="O38:O39"/>
    <mergeCell ref="P38:P39"/>
    <mergeCell ref="Q38:Q39"/>
    <mergeCell ref="I41:O41"/>
    <mergeCell ref="A42:B42"/>
    <mergeCell ref="A45:P45"/>
    <mergeCell ref="A47:B48"/>
    <mergeCell ref="D47:G47"/>
    <mergeCell ref="I47:J47"/>
    <mergeCell ref="K47:L48"/>
    <mergeCell ref="O47:O48"/>
    <mergeCell ref="D48:G48"/>
    <mergeCell ref="I48:J48"/>
    <mergeCell ref="A49:B49"/>
    <mergeCell ref="D49:G49"/>
    <mergeCell ref="I49:J49"/>
    <mergeCell ref="K49:L49"/>
    <mergeCell ref="A50:B50"/>
    <mergeCell ref="D50:G50"/>
    <mergeCell ref="I50:J50"/>
    <mergeCell ref="K50:L50"/>
    <mergeCell ref="A53:B53"/>
    <mergeCell ref="D53:G53"/>
    <mergeCell ref="I53:J53"/>
    <mergeCell ref="K53:L53"/>
    <mergeCell ref="A54:B54"/>
    <mergeCell ref="D54:G54"/>
    <mergeCell ref="I54:J54"/>
    <mergeCell ref="K54:L54"/>
    <mergeCell ref="A51:B51"/>
    <mergeCell ref="D51:G51"/>
    <mergeCell ref="I51:J51"/>
    <mergeCell ref="K51:L51"/>
    <mergeCell ref="A52:B52"/>
    <mergeCell ref="D52:G52"/>
    <mergeCell ref="I52:J52"/>
    <mergeCell ref="K52:L52"/>
    <mergeCell ref="A57:B57"/>
    <mergeCell ref="D57:G57"/>
    <mergeCell ref="I57:J57"/>
    <mergeCell ref="K57:L57"/>
    <mergeCell ref="A55:B55"/>
    <mergeCell ref="D55:G55"/>
    <mergeCell ref="I55:J55"/>
    <mergeCell ref="K55:L55"/>
    <mergeCell ref="A56:B56"/>
    <mergeCell ref="D56:G56"/>
    <mergeCell ref="I56:J56"/>
    <mergeCell ref="K56:L56"/>
  </mergeCells>
  <conditionalFormatting sqref="J20:J26">
    <cfRule type="expression" dxfId="7" priority="6">
      <formula>IF(L20="",IF(K20="",J20,"NIC"))</formula>
    </cfRule>
  </conditionalFormatting>
  <conditionalFormatting sqref="L20:L26">
    <cfRule type="expression" dxfId="6" priority="7">
      <formula>IF(L20&gt;$K$7,L20,"NIC")</formula>
    </cfRule>
  </conditionalFormatting>
  <conditionalFormatting sqref="L28:L32 L34 L36 L38 L40">
    <cfRule type="expression" dxfId="5" priority="8">
      <formula>IF(L28&gt;$K$7,L28,"NIC")</formula>
    </cfRule>
  </conditionalFormatting>
  <conditionalFormatting sqref="K20:K26">
    <cfRule type="expression" dxfId="4" priority="5">
      <formula>IF(K20&gt;=L20,K20,"NIC")</formula>
    </cfRule>
  </conditionalFormatting>
  <conditionalFormatting sqref="J28:J30">
    <cfRule type="expression" dxfId="3" priority="4">
      <formula>IF(L28="",IF(K28="",J28,"NIC"))</formula>
    </cfRule>
  </conditionalFormatting>
  <conditionalFormatting sqref="K28:K32 K34 K36 K38 K40">
    <cfRule type="expression" dxfId="2" priority="3">
      <formula>IF(K28&gt;=L28,K28,"NIC")</formula>
    </cfRule>
  </conditionalFormatting>
  <conditionalFormatting sqref="J32 J34 J36 J38 J40">
    <cfRule type="expression" dxfId="1" priority="2">
      <formula>IF(L32="",IF(K32="",J32,"NIC"))</formula>
    </cfRule>
  </conditionalFormatting>
  <conditionalFormatting sqref="L17:L19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8" scale="80" orientation="landscape" horizontalDpi="4294967293" r:id="rId1"/>
  <ignoredErrors>
    <ignoredError sqref="N2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Button 1">
              <controlPr defaultSize="0" print="0" autoFill="0" autoPict="0" macro="[0]!makro_2024_obec">
                <anchor moveWithCells="1" sizeWithCells="1">
                  <from>
                    <xdr:col>15</xdr:col>
                    <xdr:colOff>47625</xdr:colOff>
                    <xdr:row>13</xdr:row>
                    <xdr:rowOff>9525</xdr:rowOff>
                  </from>
                  <to>
                    <xdr:col>16</xdr:col>
                    <xdr:colOff>2133600</xdr:colOff>
                    <xdr:row>14</xdr:row>
                    <xdr:rowOff>685800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E7DE2F21-38E8-446C-B2CF-E8A81504B0BE}">
          <x14:formula1>
            <xm:f>IF(O5&lt;=1000,Koef!$I$11:$J$11,IF(O5&lt;=6000,Koef!$J$12:$K$12,IF(O5&lt;=10000,Koef!$K$13:$L$13,IF(O5&lt;=25000,Koef!$L$14:$M$14,IF(O5&lt;=50000,Koef!$L$15:$M$15,Koef!$L$16:$M$16)))))</xm:f>
          </x14:formula1>
          <xm:sqref>I29</xm:sqref>
        </x14:dataValidation>
        <x14:dataValidation type="list" allowBlank="1" showInputMessage="1" showErrorMessage="1" xr:uid="{A14418CF-D0A5-4B48-B768-6011859EC344}">
          <x14:formula1>
            <xm:f>IF(O5&lt;=1000,Koef!$I$11:$J$11,IF(O5&lt;=6000,Koef!$J$12:$K$12,IF(O5&lt;=10000,Koef!$K$13:$L$13,IF(O5&lt;=25000,Koef!$L$14:$M$14,IF(O5&lt;=50000,Koef!$L$15:$M$15,Koef!$L$16:$M$16)))))</xm:f>
          </x14:formula1>
          <xm:sqref>I28</xm:sqref>
        </x14:dataValidation>
        <x14:dataValidation type="list" allowBlank="1" showInputMessage="1" showErrorMessage="1" xr:uid="{CB20A326-3D9A-4166-8D4F-236CF4C85EB8}">
          <x14:formula1>
            <xm:f>Koef!$S$12:$S$58</xm:f>
          </x14:formula1>
          <xm:sqref>J16:K16</xm:sqref>
        </x14:dataValidation>
        <x14:dataValidation type="list" allowBlank="1" showInputMessage="1" showErrorMessage="1" xr:uid="{59311601-A426-4E37-8F7E-F5B98A933C8F}">
          <x14:formula1>
            <xm:f>Koef!$R$12:$R$23</xm:f>
          </x14:formula1>
          <xm:sqref>L17:L19</xm:sqref>
        </x14:dataValidation>
        <x14:dataValidation type="list" allowBlank="1" showInputMessage="1" showErrorMessage="1" xr:uid="{F190AD02-4B17-41D7-9775-BE68164F3ABC}">
          <x14:formula1>
            <xm:f>Koef!$Q$12:$Q$58</xm:f>
          </x14:formula1>
          <xm:sqref>L28:L30 L20:L26 L32 L34 L36 L38 L40</xm:sqref>
        </x14:dataValidation>
        <x14:dataValidation type="list" allowBlank="1" showInputMessage="1" showErrorMessage="1" xr:uid="{CEA0D45F-A7CF-4FFD-9179-9674904FBE52}">
          <x14:formula1>
            <xm:f>IF(O5&lt;=1000,Koef!$I$11:$J$11,IF(O5&lt;=6000,Koef!$J$12:$K$12,IF(O5&lt;=10000,Koef!$K$13:$L$13,IF(O5&lt;=25000,Koef!$L$14:$M$14,IF(O5&lt;=50000,Koef!$L$15:$M$15,Koef!$L$16:$M$16)))))</xm:f>
          </x14:formula1>
          <xm:sqref>I22</xm:sqref>
        </x14:dataValidation>
        <x14:dataValidation type="list" allowBlank="1" showInputMessage="1" showErrorMessage="1" xr:uid="{F868816B-27E0-4340-B291-B2B26BB08C77}">
          <x14:formula1>
            <xm:f>IF(VLOOKUP(#REF!,Obce_vynos!#REF!,3,FALSE)&lt;=1000,Koef!$I$11:$J$11,Koef!$I$12:$K$12)</xm:f>
          </x14:formula1>
          <xm:sqref>G80</xm:sqref>
        </x14:dataValidation>
        <x14:dataValidation type="list" allowBlank="1" showInputMessage="1" showErrorMessage="1" xr:uid="{70EB2653-215B-4D43-801A-3B1086696554}">
          <x14:formula1>
            <xm:f>Obce_s_KU!$A$2:$A$1150</xm:f>
          </x14:formula1>
          <xm:sqref>B5:G5</xm:sqref>
        </x14:dataValidation>
        <x14:dataValidation type="list" allowBlank="1" showInputMessage="1" showErrorMessage="1" xr:uid="{45454A51-4843-4BF0-9FDE-7AE1B84FE561}">
          <x14:formula1>
            <xm:f>INDIRECT(VLOOKUP(B5,Obce_s_KU!A2:B1150,2,FALSE))</xm:f>
          </x14:formula1>
          <xm:sqref>B7:G7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FAB3C-AFBD-4CDB-A185-3C48A501DBD3}">
  <sheetPr codeName="List8"/>
  <dimension ref="A2:AB91"/>
  <sheetViews>
    <sheetView workbookViewId="0">
      <selection activeCell="A2" sqref="A2:XFD352"/>
    </sheetView>
  </sheetViews>
  <sheetFormatPr defaultRowHeight="15" x14ac:dyDescent="0.25"/>
  <cols>
    <col min="1" max="1" width="24.5703125" bestFit="1" customWidth="1"/>
    <col min="2" max="2" width="24.5703125" customWidth="1"/>
    <col min="3" max="3" width="29.85546875" bestFit="1" customWidth="1"/>
    <col min="4" max="4" width="37.42578125" bestFit="1" customWidth="1"/>
    <col min="5" max="5" width="24.5703125" customWidth="1"/>
    <col min="6" max="6" width="21" bestFit="1" customWidth="1"/>
    <col min="7" max="7" width="26" bestFit="1" customWidth="1"/>
    <col min="8" max="8" width="24.28515625" bestFit="1" customWidth="1"/>
    <col min="9" max="9" width="16.7109375" customWidth="1"/>
    <col min="28" max="28" width="17.42578125" bestFit="1" customWidth="1"/>
  </cols>
  <sheetData>
    <row r="2" spans="1:28" x14ac:dyDescent="0.25">
      <c r="A2" s="33" t="s">
        <v>108</v>
      </c>
      <c r="B2" s="33" t="s">
        <v>121</v>
      </c>
      <c r="C2" s="33" t="s">
        <v>110</v>
      </c>
      <c r="D2" t="s">
        <v>112</v>
      </c>
      <c r="E2" t="s">
        <v>118</v>
      </c>
      <c r="F2" t="s">
        <v>114</v>
      </c>
      <c r="G2" t="s">
        <v>116</v>
      </c>
      <c r="H2" t="s">
        <v>108</v>
      </c>
      <c r="I2" t="s">
        <v>120</v>
      </c>
      <c r="J2" t="s">
        <v>120</v>
      </c>
      <c r="K2" t="s">
        <v>120</v>
      </c>
      <c r="L2" t="s">
        <v>120</v>
      </c>
      <c r="M2" t="s">
        <v>120</v>
      </c>
      <c r="N2" t="s">
        <v>120</v>
      </c>
      <c r="O2" t="s">
        <v>120</v>
      </c>
      <c r="P2" t="s">
        <v>120</v>
      </c>
      <c r="Q2" t="s">
        <v>120</v>
      </c>
      <c r="R2" t="s">
        <v>120</v>
      </c>
      <c r="S2" t="s">
        <v>120</v>
      </c>
      <c r="T2" t="s">
        <v>120</v>
      </c>
      <c r="U2" t="s">
        <v>120</v>
      </c>
      <c r="V2" t="s">
        <v>120</v>
      </c>
      <c r="W2" t="s">
        <v>120</v>
      </c>
      <c r="X2" t="s">
        <v>120</v>
      </c>
      <c r="Y2" t="s">
        <v>120</v>
      </c>
      <c r="Z2" t="s">
        <v>120</v>
      </c>
      <c r="AA2" t="s">
        <v>120</v>
      </c>
      <c r="AB2" t="s">
        <v>120</v>
      </c>
    </row>
    <row r="3" spans="1:28" x14ac:dyDescent="0.25">
      <c r="B3" s="34"/>
    </row>
    <row r="4" spans="1:28" x14ac:dyDescent="0.25">
      <c r="B4" s="34"/>
    </row>
    <row r="5" spans="1:28" x14ac:dyDescent="0.25">
      <c r="B5" s="34"/>
    </row>
    <row r="6" spans="1:28" x14ac:dyDescent="0.25">
      <c r="B6" s="34"/>
    </row>
    <row r="7" spans="1:28" x14ac:dyDescent="0.25">
      <c r="B7" s="34"/>
    </row>
    <row r="8" spans="1:28" x14ac:dyDescent="0.25">
      <c r="B8" s="34"/>
    </row>
    <row r="9" spans="1:28" x14ac:dyDescent="0.25">
      <c r="B9" s="34"/>
    </row>
    <row r="10" spans="1:28" x14ac:dyDescent="0.25">
      <c r="B10" s="34"/>
    </row>
    <row r="11" spans="1:28" x14ac:dyDescent="0.25">
      <c r="B11" s="34"/>
    </row>
    <row r="12" spans="1:28" x14ac:dyDescent="0.25">
      <c r="B12" s="34"/>
    </row>
    <row r="13" spans="1:28" x14ac:dyDescent="0.25">
      <c r="B13" s="34"/>
    </row>
    <row r="14" spans="1:28" x14ac:dyDescent="0.25">
      <c r="B14" s="34"/>
    </row>
    <row r="15" spans="1:28" x14ac:dyDescent="0.25">
      <c r="B15" s="34"/>
    </row>
    <row r="16" spans="1:28" x14ac:dyDescent="0.25">
      <c r="B16" s="34"/>
    </row>
    <row r="17" spans="2:2" x14ac:dyDescent="0.25">
      <c r="B17" s="34"/>
    </row>
    <row r="18" spans="2:2" x14ac:dyDescent="0.25">
      <c r="B18" s="34"/>
    </row>
    <row r="19" spans="2:2" x14ac:dyDescent="0.25">
      <c r="B19" s="34"/>
    </row>
    <row r="20" spans="2:2" x14ac:dyDescent="0.25">
      <c r="B20" s="34"/>
    </row>
    <row r="21" spans="2:2" x14ac:dyDescent="0.25">
      <c r="B21" s="34"/>
    </row>
    <row r="22" spans="2:2" x14ac:dyDescent="0.25">
      <c r="B22" s="34"/>
    </row>
    <row r="23" spans="2:2" x14ac:dyDescent="0.25">
      <c r="B23" s="34"/>
    </row>
    <row r="24" spans="2:2" x14ac:dyDescent="0.25">
      <c r="B24" s="34"/>
    </row>
    <row r="25" spans="2:2" x14ac:dyDescent="0.25">
      <c r="B25" s="34"/>
    </row>
    <row r="26" spans="2:2" x14ac:dyDescent="0.25">
      <c r="B26" s="34"/>
    </row>
    <row r="27" spans="2:2" x14ac:dyDescent="0.25">
      <c r="B27" s="34"/>
    </row>
    <row r="28" spans="2:2" x14ac:dyDescent="0.25">
      <c r="B28" s="34"/>
    </row>
    <row r="29" spans="2:2" x14ac:dyDescent="0.25">
      <c r="B29" s="34"/>
    </row>
    <row r="30" spans="2:2" x14ac:dyDescent="0.25">
      <c r="B30" s="34"/>
    </row>
    <row r="31" spans="2:2" x14ac:dyDescent="0.25">
      <c r="B31" s="34"/>
    </row>
    <row r="32" spans="2:2" x14ac:dyDescent="0.25">
      <c r="B32" s="34"/>
    </row>
    <row r="33" spans="2:2" x14ac:dyDescent="0.25">
      <c r="B33" s="34"/>
    </row>
    <row r="34" spans="2:2" x14ac:dyDescent="0.25">
      <c r="B34" s="34"/>
    </row>
    <row r="35" spans="2:2" x14ac:dyDescent="0.25">
      <c r="B35" s="34"/>
    </row>
    <row r="36" spans="2:2" x14ac:dyDescent="0.25">
      <c r="B36" s="34"/>
    </row>
    <row r="37" spans="2:2" x14ac:dyDescent="0.25">
      <c r="B37" s="34"/>
    </row>
    <row r="38" spans="2:2" x14ac:dyDescent="0.25">
      <c r="B38" s="34"/>
    </row>
    <row r="39" spans="2:2" x14ac:dyDescent="0.25">
      <c r="B39" s="34"/>
    </row>
    <row r="40" spans="2:2" x14ac:dyDescent="0.25">
      <c r="B40" s="34"/>
    </row>
    <row r="41" spans="2:2" x14ac:dyDescent="0.25">
      <c r="B41" s="34"/>
    </row>
    <row r="42" spans="2:2" x14ac:dyDescent="0.25">
      <c r="B42" s="34"/>
    </row>
    <row r="43" spans="2:2" x14ac:dyDescent="0.25">
      <c r="B43" s="34"/>
    </row>
    <row r="44" spans="2:2" x14ac:dyDescent="0.25">
      <c r="B44" s="34"/>
    </row>
    <row r="45" spans="2:2" x14ac:dyDescent="0.25">
      <c r="B45" s="34"/>
    </row>
    <row r="46" spans="2:2" x14ac:dyDescent="0.25">
      <c r="B46" s="34"/>
    </row>
    <row r="47" spans="2:2" x14ac:dyDescent="0.25">
      <c r="B47" s="34"/>
    </row>
    <row r="48" spans="2:2" x14ac:dyDescent="0.25">
      <c r="B48" s="34"/>
    </row>
    <row r="49" spans="2:2" x14ac:dyDescent="0.25">
      <c r="B49" s="34"/>
    </row>
    <row r="50" spans="2:2" x14ac:dyDescent="0.25">
      <c r="B50" s="34"/>
    </row>
    <row r="51" spans="2:2" x14ac:dyDescent="0.25">
      <c r="B51" s="34"/>
    </row>
    <row r="52" spans="2:2" x14ac:dyDescent="0.25">
      <c r="B52" s="34"/>
    </row>
    <row r="53" spans="2:2" x14ac:dyDescent="0.25">
      <c r="B53" s="34"/>
    </row>
    <row r="54" spans="2:2" x14ac:dyDescent="0.25">
      <c r="B54" s="34"/>
    </row>
    <row r="55" spans="2:2" x14ac:dyDescent="0.25">
      <c r="B55" s="34"/>
    </row>
    <row r="56" spans="2:2" x14ac:dyDescent="0.25">
      <c r="B56" s="34"/>
    </row>
    <row r="57" spans="2:2" x14ac:dyDescent="0.25">
      <c r="B57" s="34"/>
    </row>
    <row r="58" spans="2:2" x14ac:dyDescent="0.25">
      <c r="B58" s="34"/>
    </row>
    <row r="59" spans="2:2" x14ac:dyDescent="0.25">
      <c r="B59" s="34"/>
    </row>
    <row r="60" spans="2:2" x14ac:dyDescent="0.25">
      <c r="B60" s="34"/>
    </row>
    <row r="61" spans="2:2" x14ac:dyDescent="0.25">
      <c r="B61" s="34"/>
    </row>
    <row r="62" spans="2:2" x14ac:dyDescent="0.25">
      <c r="B62" s="34"/>
    </row>
    <row r="63" spans="2:2" x14ac:dyDescent="0.25">
      <c r="B63" s="34"/>
    </row>
    <row r="64" spans="2:2" x14ac:dyDescent="0.25">
      <c r="B64" s="34"/>
    </row>
    <row r="65" spans="2:2" x14ac:dyDescent="0.25">
      <c r="B65" s="34"/>
    </row>
    <row r="66" spans="2:2" x14ac:dyDescent="0.25">
      <c r="B66" s="34"/>
    </row>
    <row r="67" spans="2:2" x14ac:dyDescent="0.25">
      <c r="B67" s="34"/>
    </row>
    <row r="68" spans="2:2" x14ac:dyDescent="0.25">
      <c r="B68" s="34"/>
    </row>
    <row r="69" spans="2:2" x14ac:dyDescent="0.25">
      <c r="B69" s="34"/>
    </row>
    <row r="70" spans="2:2" x14ac:dyDescent="0.25">
      <c r="B70" s="34"/>
    </row>
    <row r="71" spans="2:2" x14ac:dyDescent="0.25">
      <c r="B71" s="34"/>
    </row>
    <row r="72" spans="2:2" x14ac:dyDescent="0.25">
      <c r="B72" s="34"/>
    </row>
    <row r="73" spans="2:2" x14ac:dyDescent="0.25">
      <c r="B73" s="34"/>
    </row>
    <row r="74" spans="2:2" x14ac:dyDescent="0.25">
      <c r="B74" s="34"/>
    </row>
    <row r="75" spans="2:2" x14ac:dyDescent="0.25">
      <c r="B75" s="34"/>
    </row>
    <row r="76" spans="2:2" x14ac:dyDescent="0.25">
      <c r="B76" s="34"/>
    </row>
    <row r="77" spans="2:2" x14ac:dyDescent="0.25">
      <c r="B77" s="34"/>
    </row>
    <row r="78" spans="2:2" x14ac:dyDescent="0.25">
      <c r="B78" s="34"/>
    </row>
    <row r="79" spans="2:2" x14ac:dyDescent="0.25">
      <c r="B79" s="34"/>
    </row>
    <row r="80" spans="2:2" x14ac:dyDescent="0.25">
      <c r="B80" s="34"/>
    </row>
    <row r="81" spans="2:2" x14ac:dyDescent="0.25">
      <c r="B81" s="34"/>
    </row>
    <row r="82" spans="2:2" x14ac:dyDescent="0.25">
      <c r="B82" s="34"/>
    </row>
    <row r="83" spans="2:2" x14ac:dyDescent="0.25">
      <c r="B83" s="34"/>
    </row>
    <row r="84" spans="2:2" x14ac:dyDescent="0.25">
      <c r="B84" s="34"/>
    </row>
    <row r="85" spans="2:2" x14ac:dyDescent="0.25">
      <c r="B85" s="34"/>
    </row>
    <row r="86" spans="2:2" x14ac:dyDescent="0.25">
      <c r="B86" s="34"/>
    </row>
    <row r="87" spans="2:2" x14ac:dyDescent="0.25">
      <c r="B87" s="34"/>
    </row>
    <row r="88" spans="2:2" x14ac:dyDescent="0.25">
      <c r="B88" s="34"/>
    </row>
    <row r="89" spans="2:2" x14ac:dyDescent="0.25">
      <c r="B89" s="34"/>
    </row>
    <row r="90" spans="2:2" x14ac:dyDescent="0.25">
      <c r="B90" s="34"/>
    </row>
    <row r="91" spans="2:2" x14ac:dyDescent="0.25">
      <c r="B91" s="34"/>
    </row>
  </sheetData>
  <autoFilter ref="A1:AB2" xr:uid="{1BAFAB3C-AFBD-4CDB-A185-3C48A501DBD3}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3"/>
  <dimension ref="A1:AB8"/>
  <sheetViews>
    <sheetView workbookViewId="0">
      <selection activeCell="A3" sqref="A3:XFD1064"/>
    </sheetView>
  </sheetViews>
  <sheetFormatPr defaultRowHeight="15" x14ac:dyDescent="0.25"/>
  <cols>
    <col min="1" max="1" width="7.85546875" style="33" bestFit="1" customWidth="1"/>
    <col min="2" max="2" width="36.42578125" style="33" bestFit="1" customWidth="1"/>
    <col min="3" max="3" width="10.5703125" style="115" bestFit="1" customWidth="1"/>
    <col min="4" max="7" width="9.5703125" style="115" bestFit="1" customWidth="1"/>
    <col min="8" max="8" width="10.5703125" style="115" bestFit="1" customWidth="1"/>
    <col min="9" max="9" width="11.5703125" style="115" bestFit="1" customWidth="1"/>
    <col min="10" max="10" width="9.5703125" style="115" bestFit="1" customWidth="1"/>
    <col min="11" max="11" width="10.5703125" style="115" bestFit="1" customWidth="1"/>
    <col min="12" max="12" width="8.5703125" style="115" bestFit="1" customWidth="1"/>
    <col min="13" max="14" width="10.5703125" style="115" bestFit="1" customWidth="1"/>
    <col min="15" max="16" width="11.5703125" style="115" bestFit="1" customWidth="1"/>
    <col min="17" max="18" width="10.5703125" style="115" bestFit="1" customWidth="1"/>
    <col min="19" max="19" width="11.5703125" style="115" bestFit="1" customWidth="1"/>
    <col min="20" max="20" width="7.5703125" style="115" bestFit="1" customWidth="1"/>
    <col min="21" max="21" width="9.5703125" style="115" bestFit="1" customWidth="1"/>
    <col min="22" max="22" width="10.5703125" style="115" bestFit="1" customWidth="1"/>
    <col min="23" max="25" width="9.5703125" style="115" bestFit="1" customWidth="1"/>
    <col min="26" max="26" width="11.5703125" style="115" bestFit="1" customWidth="1"/>
    <col min="27" max="27" width="9.5703125" style="115" bestFit="1" customWidth="1"/>
    <col min="28" max="28" width="12.5703125" style="115" bestFit="1" customWidth="1"/>
  </cols>
  <sheetData>
    <row r="1" spans="1:28" x14ac:dyDescent="0.25">
      <c r="B1" s="139" t="s">
        <v>119</v>
      </c>
      <c r="C1" s="138">
        <v>2</v>
      </c>
      <c r="D1" s="138">
        <v>3</v>
      </c>
      <c r="E1" s="138">
        <v>4</v>
      </c>
      <c r="F1" s="138">
        <v>5</v>
      </c>
      <c r="G1" s="138">
        <v>6</v>
      </c>
      <c r="H1" s="138">
        <v>7</v>
      </c>
      <c r="I1" s="138">
        <v>8</v>
      </c>
      <c r="J1" s="138">
        <v>9</v>
      </c>
      <c r="K1" s="138">
        <v>10</v>
      </c>
      <c r="L1" s="138">
        <v>11</v>
      </c>
      <c r="M1" s="138">
        <v>12</v>
      </c>
      <c r="N1" s="138">
        <v>13</v>
      </c>
      <c r="O1" s="138">
        <v>14</v>
      </c>
      <c r="P1" s="138">
        <v>15</v>
      </c>
      <c r="Q1" s="138">
        <v>16</v>
      </c>
      <c r="R1" s="138">
        <v>17</v>
      </c>
      <c r="S1" s="138">
        <v>18</v>
      </c>
      <c r="T1" s="138">
        <v>19</v>
      </c>
      <c r="U1" s="138">
        <v>20</v>
      </c>
      <c r="V1" s="138">
        <v>21</v>
      </c>
      <c r="W1" s="138">
        <v>22</v>
      </c>
      <c r="X1" s="138">
        <v>23</v>
      </c>
      <c r="Y1" s="138">
        <v>24</v>
      </c>
      <c r="Z1" s="138">
        <v>25</v>
      </c>
      <c r="AA1" s="138">
        <v>26</v>
      </c>
      <c r="AB1" s="138">
        <v>27</v>
      </c>
    </row>
    <row r="2" spans="1:28" x14ac:dyDescent="0.25">
      <c r="A2" s="33" t="s">
        <v>57</v>
      </c>
      <c r="B2" s="33" t="s">
        <v>58</v>
      </c>
      <c r="C2" s="115" t="s">
        <v>59</v>
      </c>
      <c r="D2" s="115" t="s">
        <v>60</v>
      </c>
      <c r="E2" s="115" t="s">
        <v>61</v>
      </c>
      <c r="F2" s="115" t="s">
        <v>62</v>
      </c>
      <c r="G2" s="115" t="s">
        <v>26</v>
      </c>
      <c r="H2" s="115" t="s">
        <v>63</v>
      </c>
      <c r="I2" s="115" t="s">
        <v>46</v>
      </c>
      <c r="J2" s="115" t="s">
        <v>47</v>
      </c>
      <c r="K2" s="115" t="s">
        <v>51</v>
      </c>
      <c r="L2" s="115" t="s">
        <v>50</v>
      </c>
      <c r="M2" s="115" t="s">
        <v>27</v>
      </c>
      <c r="N2" s="115" t="s">
        <v>28</v>
      </c>
      <c r="O2" s="115" t="s">
        <v>29</v>
      </c>
      <c r="P2" s="115" t="s">
        <v>30</v>
      </c>
      <c r="Q2" s="115" t="s">
        <v>64</v>
      </c>
      <c r="R2" s="115" t="s">
        <v>98</v>
      </c>
      <c r="S2" s="115" t="s">
        <v>49</v>
      </c>
      <c r="T2" s="115" t="s">
        <v>31</v>
      </c>
      <c r="U2" s="115" t="s">
        <v>32</v>
      </c>
      <c r="V2" s="115" t="s">
        <v>33</v>
      </c>
      <c r="W2" s="115" t="s">
        <v>34</v>
      </c>
      <c r="X2" s="115" t="s">
        <v>99</v>
      </c>
      <c r="Y2" s="115" t="s">
        <v>65</v>
      </c>
      <c r="Z2" s="115" t="s">
        <v>66</v>
      </c>
      <c r="AA2" s="115" t="s">
        <v>48</v>
      </c>
      <c r="AB2" s="115" t="s">
        <v>100</v>
      </c>
    </row>
    <row r="3" spans="1:28" x14ac:dyDescent="0.25">
      <c r="A3" s="33" t="s">
        <v>107</v>
      </c>
      <c r="B3" s="33" t="s">
        <v>108</v>
      </c>
      <c r="C3" s="115">
        <v>32581</v>
      </c>
      <c r="D3" s="115">
        <v>28228</v>
      </c>
      <c r="E3" s="115">
        <v>2894</v>
      </c>
      <c r="F3" s="115">
        <v>55281</v>
      </c>
      <c r="G3" s="115">
        <v>6326</v>
      </c>
      <c r="H3" s="115">
        <v>108275</v>
      </c>
      <c r="I3" s="115">
        <v>1270122</v>
      </c>
      <c r="J3" s="115">
        <v>50518</v>
      </c>
      <c r="K3" s="115">
        <v>87880</v>
      </c>
      <c r="L3" s="115">
        <v>13400</v>
      </c>
      <c r="M3" s="115">
        <v>298710</v>
      </c>
      <c r="N3" s="115">
        <v>41958</v>
      </c>
      <c r="O3" s="115">
        <v>769986</v>
      </c>
      <c r="P3" s="115">
        <v>1461712</v>
      </c>
      <c r="Q3" s="115">
        <v>79454</v>
      </c>
      <c r="R3" s="115">
        <v>30108</v>
      </c>
      <c r="S3" s="115">
        <v>268448</v>
      </c>
      <c r="T3" s="115">
        <v>0</v>
      </c>
      <c r="U3" s="115">
        <v>0</v>
      </c>
      <c r="V3" s="115">
        <v>0</v>
      </c>
      <c r="W3" s="115">
        <v>0</v>
      </c>
      <c r="X3" s="115">
        <v>9773</v>
      </c>
      <c r="Y3" s="115">
        <v>100924</v>
      </c>
      <c r="Z3" s="115">
        <v>101592</v>
      </c>
      <c r="AA3" s="115">
        <v>4520</v>
      </c>
      <c r="AB3" s="115">
        <v>4822690</v>
      </c>
    </row>
    <row r="4" spans="1:28" x14ac:dyDescent="0.25">
      <c r="A4" s="33" t="s">
        <v>109</v>
      </c>
      <c r="B4" s="33" t="s">
        <v>110</v>
      </c>
      <c r="C4" s="115">
        <v>53155</v>
      </c>
      <c r="D4" s="115">
        <v>34440</v>
      </c>
      <c r="E4" s="115">
        <v>2534</v>
      </c>
      <c r="F4" s="115">
        <v>23857</v>
      </c>
      <c r="G4" s="115">
        <v>0</v>
      </c>
      <c r="H4" s="115">
        <v>77300</v>
      </c>
      <c r="I4" s="115">
        <v>393700</v>
      </c>
      <c r="J4" s="115">
        <v>25080</v>
      </c>
      <c r="K4" s="115">
        <v>82470</v>
      </c>
      <c r="L4" s="115">
        <v>4348</v>
      </c>
      <c r="M4" s="115">
        <v>132094</v>
      </c>
      <c r="N4" s="115">
        <v>117938</v>
      </c>
      <c r="O4" s="115">
        <v>285816</v>
      </c>
      <c r="P4" s="115">
        <v>42956</v>
      </c>
      <c r="Q4" s="115">
        <v>28414</v>
      </c>
      <c r="R4" s="115">
        <v>28224</v>
      </c>
      <c r="S4" s="115">
        <v>123601</v>
      </c>
      <c r="T4" s="115">
        <v>0</v>
      </c>
      <c r="U4" s="115">
        <v>0</v>
      </c>
      <c r="V4" s="115">
        <v>0</v>
      </c>
      <c r="W4" s="115">
        <v>1436</v>
      </c>
      <c r="X4" s="115">
        <v>3281</v>
      </c>
      <c r="Y4" s="115">
        <v>0</v>
      </c>
      <c r="Z4" s="115">
        <v>104508</v>
      </c>
      <c r="AA4" s="115">
        <v>276</v>
      </c>
      <c r="AB4" s="115">
        <v>1565428</v>
      </c>
    </row>
    <row r="5" spans="1:28" x14ac:dyDescent="0.25">
      <c r="A5" s="33" t="s">
        <v>111</v>
      </c>
      <c r="B5" s="33" t="s">
        <v>112</v>
      </c>
      <c r="C5" s="115">
        <v>17466</v>
      </c>
      <c r="D5" s="115">
        <v>14575</v>
      </c>
      <c r="E5" s="115">
        <v>1358</v>
      </c>
      <c r="F5" s="115">
        <v>26266</v>
      </c>
      <c r="G5" s="115">
        <v>276</v>
      </c>
      <c r="H5" s="115">
        <v>148363</v>
      </c>
      <c r="I5" s="115">
        <v>226690</v>
      </c>
      <c r="J5" s="115">
        <v>21210</v>
      </c>
      <c r="K5" s="115">
        <v>17928</v>
      </c>
      <c r="L5" s="115">
        <v>788</v>
      </c>
      <c r="M5" s="115">
        <v>91654</v>
      </c>
      <c r="N5" s="115">
        <v>348</v>
      </c>
      <c r="O5" s="115">
        <v>1426340</v>
      </c>
      <c r="P5" s="115">
        <v>61884</v>
      </c>
      <c r="Q5" s="115">
        <v>7160</v>
      </c>
      <c r="R5" s="115">
        <v>54178</v>
      </c>
      <c r="S5" s="115">
        <v>70610</v>
      </c>
      <c r="T5" s="115">
        <v>0</v>
      </c>
      <c r="U5" s="115">
        <v>0</v>
      </c>
      <c r="V5" s="115">
        <v>0</v>
      </c>
      <c r="W5" s="115">
        <v>0</v>
      </c>
      <c r="X5" s="115">
        <v>3406</v>
      </c>
      <c r="Y5" s="115">
        <v>0</v>
      </c>
      <c r="Z5" s="115">
        <v>202032</v>
      </c>
      <c r="AA5" s="115">
        <v>0</v>
      </c>
      <c r="AB5" s="115">
        <v>2392532</v>
      </c>
    </row>
    <row r="6" spans="1:28" x14ac:dyDescent="0.25">
      <c r="A6" s="33" t="s">
        <v>113</v>
      </c>
      <c r="B6" s="33" t="s">
        <v>114</v>
      </c>
      <c r="C6" s="115">
        <v>32025</v>
      </c>
      <c r="D6" s="115">
        <v>46430</v>
      </c>
      <c r="E6" s="115">
        <v>7480</v>
      </c>
      <c r="F6" s="115">
        <v>16760</v>
      </c>
      <c r="G6" s="115">
        <v>392</v>
      </c>
      <c r="H6" s="115">
        <v>127309</v>
      </c>
      <c r="I6" s="115">
        <v>98510</v>
      </c>
      <c r="J6" s="115">
        <v>10470</v>
      </c>
      <c r="K6" s="115">
        <v>75764</v>
      </c>
      <c r="L6" s="115">
        <v>4930</v>
      </c>
      <c r="M6" s="115">
        <v>3438</v>
      </c>
      <c r="N6" s="115">
        <v>38148</v>
      </c>
      <c r="O6" s="115">
        <v>0</v>
      </c>
      <c r="P6" s="115">
        <v>0</v>
      </c>
      <c r="Q6" s="115">
        <v>13938</v>
      </c>
      <c r="R6" s="115">
        <v>89876</v>
      </c>
      <c r="S6" s="115">
        <v>3842</v>
      </c>
      <c r="T6" s="115">
        <v>0</v>
      </c>
      <c r="U6" s="115">
        <v>0</v>
      </c>
      <c r="V6" s="115">
        <v>18306</v>
      </c>
      <c r="W6" s="115">
        <v>0</v>
      </c>
      <c r="X6" s="115">
        <v>17621</v>
      </c>
      <c r="Y6" s="115">
        <v>70974</v>
      </c>
      <c r="Z6" s="115">
        <v>0</v>
      </c>
      <c r="AA6" s="115">
        <v>0</v>
      </c>
      <c r="AB6" s="115">
        <v>676213</v>
      </c>
    </row>
    <row r="7" spans="1:28" x14ac:dyDescent="0.25">
      <c r="A7" s="33" t="s">
        <v>115</v>
      </c>
      <c r="B7" s="33" t="s">
        <v>116</v>
      </c>
      <c r="C7" s="115">
        <v>10156</v>
      </c>
      <c r="D7" s="115">
        <v>14762</v>
      </c>
      <c r="E7" s="115">
        <v>2264</v>
      </c>
      <c r="F7" s="115">
        <v>20482</v>
      </c>
      <c r="G7" s="115">
        <v>0</v>
      </c>
      <c r="H7" s="115">
        <v>16882</v>
      </c>
      <c r="I7" s="115">
        <v>86054</v>
      </c>
      <c r="J7" s="115">
        <v>13258</v>
      </c>
      <c r="K7" s="115">
        <v>255688</v>
      </c>
      <c r="L7" s="115">
        <v>10036</v>
      </c>
      <c r="M7" s="115">
        <v>6832</v>
      </c>
      <c r="N7" s="115">
        <v>12864</v>
      </c>
      <c r="O7" s="115">
        <v>8788</v>
      </c>
      <c r="P7" s="115">
        <v>27006</v>
      </c>
      <c r="Q7" s="115">
        <v>5716</v>
      </c>
      <c r="R7" s="115">
        <v>36402</v>
      </c>
      <c r="S7" s="115">
        <v>0</v>
      </c>
      <c r="T7" s="115">
        <v>0</v>
      </c>
      <c r="U7" s="115">
        <v>0</v>
      </c>
      <c r="V7" s="115">
        <v>0</v>
      </c>
      <c r="W7" s="115">
        <v>0</v>
      </c>
      <c r="X7" s="115">
        <v>3523</v>
      </c>
      <c r="Y7" s="115">
        <v>0</v>
      </c>
      <c r="Z7" s="115">
        <v>0</v>
      </c>
      <c r="AA7" s="115">
        <v>0</v>
      </c>
      <c r="AB7" s="115">
        <v>530713</v>
      </c>
    </row>
    <row r="8" spans="1:28" x14ac:dyDescent="0.25">
      <c r="A8" s="33" t="s">
        <v>117</v>
      </c>
      <c r="B8" s="33" t="s">
        <v>118</v>
      </c>
      <c r="C8" s="115">
        <v>15044</v>
      </c>
      <c r="D8" s="115">
        <v>21552</v>
      </c>
      <c r="E8" s="115">
        <v>348</v>
      </c>
      <c r="F8" s="115">
        <v>11396</v>
      </c>
      <c r="G8" s="115">
        <v>7472</v>
      </c>
      <c r="H8" s="115">
        <v>28448</v>
      </c>
      <c r="I8" s="115">
        <v>85890</v>
      </c>
      <c r="J8" s="115">
        <v>10334</v>
      </c>
      <c r="K8" s="115">
        <v>40628</v>
      </c>
      <c r="L8" s="115">
        <v>2280</v>
      </c>
      <c r="M8" s="115">
        <v>5614</v>
      </c>
      <c r="N8" s="115">
        <v>600</v>
      </c>
      <c r="O8" s="115">
        <v>0</v>
      </c>
      <c r="P8" s="115">
        <v>0</v>
      </c>
      <c r="Q8" s="115">
        <v>8074</v>
      </c>
      <c r="R8" s="115">
        <v>12230</v>
      </c>
      <c r="S8" s="115">
        <v>3356</v>
      </c>
      <c r="T8" s="115">
        <v>0</v>
      </c>
      <c r="U8" s="115">
        <v>0</v>
      </c>
      <c r="V8" s="115">
        <v>0</v>
      </c>
      <c r="W8" s="115">
        <v>0</v>
      </c>
      <c r="X8" s="115">
        <v>940</v>
      </c>
      <c r="Y8" s="115">
        <v>0</v>
      </c>
      <c r="Z8" s="115">
        <v>0</v>
      </c>
      <c r="AA8" s="115">
        <v>0</v>
      </c>
      <c r="AB8" s="115">
        <v>254206</v>
      </c>
    </row>
  </sheetData>
  <autoFilter ref="A2:AB8" xr:uid="{00000000-0001-0000-0C00-000000000000}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">
    <pageSetUpPr fitToPage="1"/>
  </sheetPr>
  <dimension ref="A1:U7"/>
  <sheetViews>
    <sheetView zoomScale="90" zoomScaleNormal="90" workbookViewId="0">
      <pane ySplit="1" topLeftCell="A2" activePane="bottomLeft" state="frozen"/>
      <selection pane="bottomLeft" activeCell="A2" sqref="A2:XFD1062"/>
    </sheetView>
  </sheetViews>
  <sheetFormatPr defaultRowHeight="15" x14ac:dyDescent="0.25"/>
  <cols>
    <col min="1" max="1" width="6" style="33" bestFit="1" customWidth="1"/>
    <col min="2" max="2" width="20" style="33" bestFit="1" customWidth="1"/>
    <col min="3" max="3" width="6" style="33" bestFit="1" customWidth="1"/>
    <col min="4" max="4" width="20" style="33" bestFit="1" customWidth="1"/>
    <col min="5" max="5" width="7" style="115" bestFit="1" customWidth="1"/>
    <col min="6" max="6" width="5" style="137" bestFit="1" customWidth="1"/>
    <col min="7" max="20" width="8" style="137" bestFit="1" customWidth="1"/>
    <col min="21" max="21" width="5" style="33" bestFit="1" customWidth="1"/>
  </cols>
  <sheetData>
    <row r="1" spans="1:21" x14ac:dyDescent="0.25">
      <c r="A1" s="33" t="s">
        <v>55</v>
      </c>
      <c r="B1" s="33" t="s">
        <v>56</v>
      </c>
      <c r="C1" s="33" t="s">
        <v>57</v>
      </c>
      <c r="D1" s="33" t="s">
        <v>58</v>
      </c>
      <c r="E1" s="115" t="s">
        <v>122</v>
      </c>
      <c r="F1" s="137" t="s">
        <v>26</v>
      </c>
      <c r="G1" s="137" t="s">
        <v>46</v>
      </c>
      <c r="H1" s="137" t="s">
        <v>47</v>
      </c>
      <c r="I1" s="137" t="s">
        <v>51</v>
      </c>
      <c r="J1" s="137" t="s">
        <v>50</v>
      </c>
      <c r="K1" s="137" t="s">
        <v>27</v>
      </c>
      <c r="L1" s="137" t="s">
        <v>28</v>
      </c>
      <c r="M1" s="137" t="s">
        <v>29</v>
      </c>
      <c r="N1" s="137" t="s">
        <v>30</v>
      </c>
      <c r="O1" s="137" t="s">
        <v>49</v>
      </c>
      <c r="P1" s="137" t="s">
        <v>31</v>
      </c>
      <c r="Q1" s="137" t="s">
        <v>32</v>
      </c>
      <c r="R1" s="137" t="s">
        <v>33</v>
      </c>
      <c r="S1" s="137" t="s">
        <v>34</v>
      </c>
      <c r="T1" s="137" t="s">
        <v>48</v>
      </c>
      <c r="U1" s="33" t="s">
        <v>123</v>
      </c>
    </row>
    <row r="2" spans="1:21" x14ac:dyDescent="0.25">
      <c r="A2" s="33" t="s">
        <v>125</v>
      </c>
      <c r="B2" s="33" t="s">
        <v>108</v>
      </c>
      <c r="C2" s="33" t="s">
        <v>107</v>
      </c>
      <c r="D2" s="33" t="s">
        <v>108</v>
      </c>
      <c r="E2" s="115">
        <v>3.52</v>
      </c>
      <c r="F2" s="137">
        <v>1.4</v>
      </c>
      <c r="G2" s="137">
        <v>1.4</v>
      </c>
      <c r="H2" s="137">
        <v>1.4</v>
      </c>
      <c r="I2" s="137">
        <v>1.5</v>
      </c>
      <c r="J2" s="137">
        <v>1.5</v>
      </c>
      <c r="K2" s="137">
        <v>1.5</v>
      </c>
      <c r="L2" s="137">
        <v>1.5</v>
      </c>
      <c r="M2" s="137">
        <v>1.5</v>
      </c>
      <c r="N2" s="137">
        <v>1.5</v>
      </c>
      <c r="O2" s="137">
        <v>1.4</v>
      </c>
      <c r="R2" s="137">
        <v>1.5</v>
      </c>
      <c r="T2" s="137">
        <v>1.4</v>
      </c>
      <c r="U2" s="33" t="s">
        <v>124</v>
      </c>
    </row>
    <row r="3" spans="1:21" x14ac:dyDescent="0.25">
      <c r="A3" s="33" t="s">
        <v>125</v>
      </c>
      <c r="B3" s="33" t="s">
        <v>108</v>
      </c>
      <c r="C3" s="33" t="s">
        <v>109</v>
      </c>
      <c r="D3" s="33" t="s">
        <v>110</v>
      </c>
      <c r="E3" s="115">
        <v>4.7</v>
      </c>
      <c r="G3" s="137">
        <v>1.4</v>
      </c>
      <c r="H3" s="137">
        <v>1.4</v>
      </c>
      <c r="I3" s="137">
        <v>1.5</v>
      </c>
      <c r="J3" s="137">
        <v>1.5</v>
      </c>
      <c r="K3" s="137">
        <v>1.5</v>
      </c>
      <c r="L3" s="137">
        <v>1.5</v>
      </c>
      <c r="M3" s="137">
        <v>1.5</v>
      </c>
      <c r="N3" s="137">
        <v>1.5</v>
      </c>
      <c r="O3" s="137">
        <v>1.4</v>
      </c>
      <c r="S3" s="137">
        <v>1.5</v>
      </c>
      <c r="T3" s="137">
        <v>1.4</v>
      </c>
      <c r="U3" s="33" t="s">
        <v>124</v>
      </c>
    </row>
    <row r="4" spans="1:21" x14ac:dyDescent="0.25">
      <c r="A4" s="33" t="s">
        <v>125</v>
      </c>
      <c r="B4" s="33" t="s">
        <v>108</v>
      </c>
      <c r="C4" s="33" t="s">
        <v>111</v>
      </c>
      <c r="D4" s="33" t="s">
        <v>112</v>
      </c>
      <c r="E4" s="115">
        <v>2.78</v>
      </c>
      <c r="F4" s="137">
        <v>1.4</v>
      </c>
      <c r="G4" s="137">
        <v>1.4</v>
      </c>
      <c r="H4" s="137">
        <v>1.4</v>
      </c>
      <c r="I4" s="137">
        <v>1.5</v>
      </c>
      <c r="J4" s="137">
        <v>1.5</v>
      </c>
      <c r="K4" s="137">
        <v>1.5</v>
      </c>
      <c r="L4" s="137">
        <v>1.5</v>
      </c>
      <c r="M4" s="137">
        <v>1.5</v>
      </c>
      <c r="N4" s="137">
        <v>1.5</v>
      </c>
      <c r="O4" s="137">
        <v>1.4</v>
      </c>
      <c r="U4" s="33" t="s">
        <v>124</v>
      </c>
    </row>
    <row r="5" spans="1:21" x14ac:dyDescent="0.25">
      <c r="A5" s="33" t="s">
        <v>125</v>
      </c>
      <c r="B5" s="33" t="s">
        <v>108</v>
      </c>
      <c r="C5" s="33" t="s">
        <v>113</v>
      </c>
      <c r="D5" s="33" t="s">
        <v>114</v>
      </c>
      <c r="E5" s="115">
        <v>3.5</v>
      </c>
      <c r="F5" s="137">
        <v>1.4</v>
      </c>
      <c r="G5" s="137">
        <v>1.4</v>
      </c>
      <c r="H5" s="137">
        <v>1.4</v>
      </c>
      <c r="I5" s="137">
        <v>1.5</v>
      </c>
      <c r="J5" s="137">
        <v>1.5</v>
      </c>
      <c r="K5" s="137">
        <v>1.5</v>
      </c>
      <c r="L5" s="137">
        <v>1.5</v>
      </c>
      <c r="O5" s="137">
        <v>1.4</v>
      </c>
      <c r="R5" s="137">
        <v>1.5</v>
      </c>
      <c r="U5" s="33" t="s">
        <v>124</v>
      </c>
    </row>
    <row r="6" spans="1:21" x14ac:dyDescent="0.25">
      <c r="A6" s="33" t="s">
        <v>125</v>
      </c>
      <c r="B6" s="33" t="s">
        <v>108</v>
      </c>
      <c r="C6" s="33" t="s">
        <v>115</v>
      </c>
      <c r="D6" s="33" t="s">
        <v>116</v>
      </c>
      <c r="E6" s="115">
        <v>1.77</v>
      </c>
      <c r="G6" s="137">
        <v>1.4</v>
      </c>
      <c r="H6" s="137">
        <v>1.4</v>
      </c>
      <c r="I6" s="137">
        <v>1.5</v>
      </c>
      <c r="J6" s="137">
        <v>1.5</v>
      </c>
      <c r="K6" s="137">
        <v>1.5</v>
      </c>
      <c r="L6" s="137">
        <v>1.5</v>
      </c>
      <c r="M6" s="137">
        <v>1.5</v>
      </c>
      <c r="N6" s="137">
        <v>1.5</v>
      </c>
      <c r="U6" s="33" t="s">
        <v>124</v>
      </c>
    </row>
    <row r="7" spans="1:21" x14ac:dyDescent="0.25">
      <c r="A7" s="33" t="s">
        <v>125</v>
      </c>
      <c r="B7" s="33" t="s">
        <v>108</v>
      </c>
      <c r="C7" s="33" t="s">
        <v>117</v>
      </c>
      <c r="D7" s="33" t="s">
        <v>118</v>
      </c>
      <c r="E7" s="115">
        <v>5.46</v>
      </c>
      <c r="F7" s="137">
        <v>1.4</v>
      </c>
      <c r="G7" s="137">
        <v>1.4</v>
      </c>
      <c r="H7" s="137">
        <v>1.4</v>
      </c>
      <c r="I7" s="137">
        <v>1.5</v>
      </c>
      <c r="J7" s="137">
        <v>1.5</v>
      </c>
      <c r="K7" s="137">
        <v>1.5</v>
      </c>
      <c r="L7" s="137">
        <v>1.5</v>
      </c>
      <c r="O7" s="137">
        <v>1.4</v>
      </c>
      <c r="U7" s="33" t="s">
        <v>124</v>
      </c>
    </row>
  </sheetData>
  <autoFilter ref="A1:U7" xr:uid="{00000000-0009-0000-0000-00000E000000}"/>
  <pageMargins left="0.7" right="0.7" top="0.78740157499999996" bottom="0.78740157499999996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KÚ_1</vt:lpstr>
      <vt:lpstr>KÚ_2</vt:lpstr>
      <vt:lpstr>KÚ_3</vt:lpstr>
      <vt:lpstr>KÚ_4</vt:lpstr>
      <vt:lpstr>KÚ_5</vt:lpstr>
      <vt:lpstr>KÚ_6</vt:lpstr>
      <vt:lpstr>Obce_s_KU</vt:lpstr>
      <vt:lpstr>Obce_vynos</vt:lpstr>
      <vt:lpstr>Všechny_obce_koeficienty</vt:lpstr>
      <vt:lpstr>Koef</vt:lpstr>
      <vt:lpstr>OBCE, počet obyvatel</vt:lpstr>
      <vt:lpstr>Uživatelská příručka</vt:lpstr>
      <vt:lpstr>HELP</vt:lpstr>
      <vt:lpstr>ČESKÁ_KAMENICE</vt:lpstr>
    </vt:vector>
  </TitlesOfParts>
  <Company>Finanční správa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Růžičková Doris Bc. (FÚ pro Ústecký kraj)</dc:creator>
  <cp:lastModifiedBy>Jitka Volfová</cp:lastModifiedBy>
  <cp:lastPrinted>2021-11-15T13:07:40Z</cp:lastPrinted>
  <dcterms:created xsi:type="dcterms:W3CDTF">2021-07-15T05:48:30Z</dcterms:created>
  <dcterms:modified xsi:type="dcterms:W3CDTF">2024-08-13T08:17:13Z</dcterms:modified>
</cp:coreProperties>
</file>